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225" windowHeight="11640" activeTab="0"/>
  </bookViews>
  <sheets>
    <sheet name="Master Mitigation" sheetId="1" r:id="rId1"/>
    <sheet name="Charts" sheetId="2" r:id="rId2"/>
    <sheet name="Boston GHG" sheetId="3" r:id="rId3"/>
    <sheet name="Boston Energy" sheetId="4" r:id="rId4"/>
    <sheet name="Appliance Standards" sheetId="5" r:id="rId5"/>
    <sheet name="Utility Energy Efficiency" sheetId="6" r:id="rId6"/>
    <sheet name="Bikes Carl" sheetId="7" r:id="rId7"/>
    <sheet name="Bike Backup" sheetId="8" r:id="rId8"/>
    <sheet name="Bike Alternate" sheetId="9" r:id="rId9"/>
    <sheet name="VMT Reduction" sheetId="10" r:id="rId10"/>
    <sheet name="Pavley" sheetId="11" r:id="rId11"/>
    <sheet name="Waste" sheetId="12" r:id="rId12"/>
    <sheet name="LCFS" sheetId="13" r:id="rId13"/>
    <sheet name="Anti-idling" sheetId="14" r:id="rId14"/>
    <sheet name="Labeling RECO" sheetId="15" r:id="rId15"/>
    <sheet name="Buildings-Peregrine" sheetId="16" r:id="rId16"/>
    <sheet name="Cool Roofs" sheetId="17" r:id="rId17"/>
    <sheet name="Green Roofs" sheetId="18" r:id="rId18"/>
    <sheet name="RPS" sheetId="19" r:id="rId19"/>
  </sheets>
  <externalReferences>
    <externalReference r:id="rId22"/>
    <externalReference r:id="rId23"/>
    <externalReference r:id="rId24"/>
  </externalReferences>
  <definedNames/>
  <calcPr fullCalcOnLoad="1"/>
</workbook>
</file>

<file path=xl/comments17.xml><?xml version="1.0" encoding="utf-8"?>
<comments xmlns="http://schemas.openxmlformats.org/spreadsheetml/2006/main">
  <authors>
    <author>Solar Study</author>
  </authors>
  <commentList>
    <comment ref="A1" authorId="0">
      <text>
        <r>
          <rPr>
            <b/>
            <sz val="8"/>
            <rFont val="Tahoma"/>
            <family val="2"/>
          </rPr>
          <t>Adjustable Inputs in Green</t>
        </r>
      </text>
    </comment>
    <comment ref="B30" authorId="0">
      <text>
        <r>
          <rPr>
            <sz val="8"/>
            <rFont val="Tahoma"/>
            <family val="2"/>
          </rPr>
          <t>Akbari, H., S. Menon, and A. Rosenfeld. 2008. “Global cooling: increasing solar reflectance of urban areas to offset
CO2,” In press, Climatic Change. Hashem Akbari is a senior scientist.</t>
        </r>
      </text>
    </comment>
    <comment ref="B69" authorId="0">
      <text>
        <r>
          <rPr>
            <sz val="8"/>
            <rFont val="Tahoma"/>
            <family val="2"/>
          </rPr>
          <t>Akbari, H., S. Menon, and A. Rosenfeld. 2008. “Global cooling: increasing solar reflectance of urban areas to offset
CO2,” In press, Climatic Change. Hashem Akbari is a senior scientist.</t>
        </r>
      </text>
    </comment>
  </commentList>
</comments>
</file>

<file path=xl/comments18.xml><?xml version="1.0" encoding="utf-8"?>
<comments xmlns="http://schemas.openxmlformats.org/spreadsheetml/2006/main">
  <authors>
    <author>Solar Study</author>
    <author>Anya Castillo</author>
  </authors>
  <commentList>
    <comment ref="B25" authorId="0">
      <text>
        <r>
          <rPr>
            <sz val="8"/>
            <rFont val="Tahoma"/>
            <family val="2"/>
          </rPr>
          <t>Akbari, H., S. Menon, and A. Rosenfeld. 2008. “Global cooling: increasing solar reflectance of urban areas to offset
CO2,” In press, Climatic Change. Hashem Akbari is a senior scientist.</t>
        </r>
      </text>
    </comment>
    <comment ref="B27" authorId="1">
      <text>
        <r>
          <rPr>
            <sz val="9"/>
            <rFont val="Verdana"/>
            <family val="0"/>
          </rPr>
          <t>Call green round table?</t>
        </r>
      </text>
    </comment>
  </commentList>
</comments>
</file>

<file path=xl/sharedStrings.xml><?xml version="1.0" encoding="utf-8"?>
<sst xmlns="http://schemas.openxmlformats.org/spreadsheetml/2006/main" count="976" uniqueCount="565">
  <si>
    <t>Assumptions (residential):</t>
  </si>
  <si>
    <t>Assumptions (commercial):</t>
  </si>
  <si>
    <t xml:space="preserve">annual reduction in community residential electricity consumption per year </t>
  </si>
  <si>
    <t xml:space="preserve">total reduction in community residential electricity consumption per year by 2020 </t>
  </si>
  <si>
    <t xml:space="preserve">annual reduction in community residential NG consumption per year </t>
  </si>
  <si>
    <t xml:space="preserve">total reduction in community residential NG and oil consumption per year by 2020 </t>
  </si>
  <si>
    <t xml:space="preserve">annual reduction in  C/I electricity consumption per year </t>
  </si>
  <si>
    <t xml:space="preserve">total reduction in C/I electricity consumption per year by 2020 </t>
  </si>
  <si>
    <t xml:space="preserve">annual reduction in community C/I NG consumption per year </t>
  </si>
  <si>
    <t xml:space="preserve">total reduction in community C/I NG consumption per year by 2020 </t>
  </si>
  <si>
    <t xml:space="preserve">residential electricity </t>
  </si>
  <si>
    <t xml:space="preserve">residential Oil and NG </t>
  </si>
  <si>
    <t xml:space="preserve">residential NG </t>
  </si>
  <si>
    <t>years - length of time labeling requirement in effect</t>
  </si>
  <si>
    <t>total reduction in community residential NG consumption per year by 2020</t>
  </si>
  <si>
    <t xml:space="preserve">annual reduction in community C/I electricity consumption per year </t>
  </si>
  <si>
    <t>total reduction in community C/I electricity consumption per year by 2020</t>
  </si>
  <si>
    <t>years avg. measure life, assuming 2010 start year</t>
  </si>
  <si>
    <t>Gasoline and Diesel fuels are treated separately (i.e. there will be a gas LCFS and a diesel LCFS)</t>
  </si>
  <si>
    <t>Given uncertainty at this time of the LCFS timeline, requirements, etc., we assume LCFS combined w/National RFS will result in 5% reduction in GHG by 2020 of Transportation Fuel and Heating Oil GHG</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</si>
  <si>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</si>
  <si>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</si>
  <si>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C/I total rooftop area and growth of new C/I is an aggregate calculation for commercial, mixed use, institutional, industrial, and also the unclassified.</t>
  </si>
  <si>
    <t>4.  Assume that commercial, industrial, institutional, etc. properties grow at a rate of 0.5% annually</t>
  </si>
  <si>
    <t>Mitigation Policy</t>
  </si>
  <si>
    <t>Term (Years)</t>
  </si>
  <si>
    <t>Green Roofing Savings</t>
  </si>
  <si>
    <t>Two-Year Emission Uptake by Vegetation (Short ton CO2/Sq. Ft.)</t>
  </si>
  <si>
    <t>One-time Emission Uptake by Vegetation (Short ton CO2/Sq. Ft.)</t>
  </si>
  <si>
    <t>One-time Emission Offset (Short ton CO2/Sq. Ft.)</t>
  </si>
  <si>
    <t>Boston C/I</t>
  </si>
  <si>
    <t>Total Rooftop Area (Sq. Ft.)</t>
  </si>
  <si>
    <t>Roofing Replacement (Years)</t>
  </si>
  <si>
    <t>New  C/I, Year-over-Year Growth Rate</t>
  </si>
  <si>
    <t>Average Rooftop Area</t>
  </si>
  <si>
    <t>Avg Roofprint Sq Ft</t>
  </si>
  <si>
    <t>Boston GHG Emissions Reduction (Mitigation) Strategies</t>
  </si>
  <si>
    <t>Buildings</t>
  </si>
  <si>
    <t>Transportation</t>
  </si>
  <si>
    <t>Other</t>
  </si>
  <si>
    <t>Total</t>
  </si>
  <si>
    <t>2020 Baseline</t>
  </si>
  <si>
    <t>2020 Reduction Strategies</t>
  </si>
  <si>
    <t>%</t>
  </si>
  <si>
    <t>CAFÉ/Pavley</t>
  </si>
  <si>
    <t>Low-Carbon Fuel Standard/Renewable Fuel Standard</t>
  </si>
  <si>
    <t>Vehicle Mile Traveled Reduction Strategies</t>
  </si>
  <si>
    <t xml:space="preserve">   Bike Programs</t>
  </si>
  <si>
    <t xml:space="preserve">   Car Sharing</t>
  </si>
  <si>
    <t xml:space="preserve">   Other Programs--Mass Transit/Parking</t>
  </si>
  <si>
    <t>Renewable Portfolio Standard</t>
  </si>
  <si>
    <t>Building Codes</t>
  </si>
  <si>
    <t>Stretch Building Code</t>
  </si>
  <si>
    <t>Appliance Standards</t>
  </si>
  <si>
    <t>Benchmarking and Labeling</t>
  </si>
  <si>
    <t>Energy Efficiency Retrofit Ordinances</t>
  </si>
  <si>
    <t>Oil Heat Efficiency Program</t>
  </si>
  <si>
    <t>Residential Solid Waste Reduction</t>
  </si>
  <si>
    <t>Cool Roofs</t>
  </si>
  <si>
    <t>Tons (000)</t>
  </si>
  <si>
    <t>LCFS For Heating Fuels</t>
  </si>
  <si>
    <t>Boston Community Greenhouse Gas Inventory</t>
  </si>
  <si>
    <t>Projected Numbers</t>
  </si>
  <si>
    <t>Updated: 09/23/09</t>
  </si>
  <si>
    <t>Residential</t>
  </si>
  <si>
    <t>Electricity (kWh)</t>
  </si>
  <si>
    <t>Natural Gas (therms)</t>
  </si>
  <si>
    <t>Fuel Oil (gallons)</t>
  </si>
  <si>
    <t>Steam (million BTU)</t>
  </si>
  <si>
    <t>Waste (tons) - FY</t>
  </si>
  <si>
    <t>Commercial/ Industrial</t>
  </si>
  <si>
    <t>Natural Gas (therms)*</t>
  </si>
  <si>
    <t>*2008 Natural Gas has been adjusted, but with 2007 numberssince trigen steam has note reported yet</t>
  </si>
  <si>
    <t>Waste (tons)</t>
  </si>
  <si>
    <t xml:space="preserve">*Adjusted to account for Natural Gas Used by the Trigen Steam plant;'04 - 8.2M; '05-4.0M; '06-25.7M; '07-20.1M therms </t>
  </si>
  <si>
    <t>MAPC VMT (miles)</t>
  </si>
  <si>
    <t>Note: new # for '04 and '05, based on 2000 and 2006 baseline</t>
  </si>
  <si>
    <t>MBTA</t>
  </si>
  <si>
    <t>4,118,391 (total MBTA miles)</t>
  </si>
  <si>
    <t>Diesel (Gals)</t>
  </si>
  <si>
    <t>CNG (therm)</t>
  </si>
  <si>
    <t>Gasoline (gals)</t>
  </si>
  <si>
    <t>Water and Sewer</t>
  </si>
  <si>
    <t>MWRA</t>
  </si>
  <si>
    <t>CNG (therms)</t>
  </si>
  <si>
    <t>Notes:</t>
  </si>
  <si>
    <t>Electricity factors: 2004-2008 are base on ISO-NE reports on titled "Marginal Emission Analysis", and is based on their average emissions rate for all of New England</t>
  </si>
  <si>
    <t>For 1990 - Emission factor based on MA's gwsa_appendix from July 2009, which is sum of the six state emissions factors and includes imports.</t>
  </si>
  <si>
    <t>Official Populaiton Figures for Boston: 609,023</t>
  </si>
  <si>
    <t>As of Sept 2009</t>
  </si>
  <si>
    <t>Gasoline</t>
  </si>
  <si>
    <t>Diesel</t>
  </si>
  <si>
    <t>Electricity</t>
  </si>
  <si>
    <t>Natural Gas</t>
  </si>
  <si>
    <t>Fuel Oil</t>
  </si>
  <si>
    <t>Trigen Steam</t>
  </si>
  <si>
    <t>Waste</t>
  </si>
  <si>
    <t>VMTs</t>
  </si>
  <si>
    <t>CNG</t>
  </si>
  <si>
    <t>Boston's Community eCO2 Total</t>
  </si>
  <si>
    <t>% of Total</t>
  </si>
  <si>
    <t xml:space="preserve">Natural Gas </t>
  </si>
  <si>
    <t>Electricty</t>
  </si>
  <si>
    <t>Steam</t>
  </si>
  <si>
    <t>2007 Sector/Fuel breakdown</t>
  </si>
  <si>
    <t>Comm/Ind</t>
  </si>
  <si>
    <t>In Short Tons of CO2 equivalent</t>
  </si>
  <si>
    <t>Per Capita (tons):</t>
  </si>
  <si>
    <t>Per Capita (Metric Tons):</t>
  </si>
  <si>
    <t>Population</t>
  </si>
  <si>
    <t>Updated: 10/22/09</t>
  </si>
  <si>
    <t>Status</t>
  </si>
  <si>
    <t>Proposed</t>
  </si>
  <si>
    <t>Approved</t>
  </si>
  <si>
    <t>X</t>
  </si>
  <si>
    <t>Jurisdiction</t>
  </si>
  <si>
    <t>Boston</t>
  </si>
  <si>
    <t>MA</t>
  </si>
  <si>
    <t>Federal</t>
  </si>
  <si>
    <t>MA RPS</t>
  </si>
  <si>
    <t>RPS Target in 2010</t>
  </si>
  <si>
    <t>RPS Target in 2020</t>
  </si>
  <si>
    <t>Difference</t>
  </si>
  <si>
    <t>Assume in Base Line Ramp Up</t>
  </si>
  <si>
    <t>Incremental</t>
  </si>
  <si>
    <t>Electricity Savings From Baseline</t>
  </si>
  <si>
    <t>Electric and Gas Energy Efficiency</t>
  </si>
  <si>
    <t>Electric Energy Efficiency</t>
  </si>
  <si>
    <t>New Savings Per Year</t>
  </si>
  <si>
    <t>Incremental Savings Per Year</t>
  </si>
  <si>
    <t>2020 Savings</t>
  </si>
  <si>
    <t>Assumptions:</t>
  </si>
  <si>
    <t>Assume 2.4% for 10 years, w/avg. 10 year measure life</t>
  </si>
  <si>
    <t>Natural Gas Efficiency</t>
  </si>
  <si>
    <t>Percent Electricity Savings</t>
  </si>
  <si>
    <t>Baseline 2008 Per Year</t>
  </si>
  <si>
    <t>Utility Energy Efficiency Programs (Electric))</t>
  </si>
  <si>
    <t>Utility Energy Efficiency Programs (Gas)</t>
  </si>
  <si>
    <t>VMT Reduction From Boston Bike Programs in 2020 (millions)</t>
  </si>
  <si>
    <t>Assumption: 2008 daily bike trips = 21,000; 1.55% mode split</t>
  </si>
  <si>
    <t>Bike Mode Split</t>
  </si>
  <si>
    <t>Daily bike trips</t>
  </si>
  <si>
    <t>Annual bike trips</t>
  </si>
  <si>
    <t>eliminated motor vehicle trips</t>
  </si>
  <si>
    <t>VMT</t>
  </si>
  <si>
    <t>Bike Sharing</t>
  </si>
  <si>
    <t>Personal Bikes from Bike Share</t>
  </si>
  <si>
    <t>Personal Bike from All Other Programs</t>
  </si>
  <si>
    <t>Total VMT Reduction in 2020</t>
  </si>
  <si>
    <t xml:space="preserve">2007 Boston VMT </t>
  </si>
  <si>
    <t xml:space="preserve">Percent VMT Reduction from Bike Programs </t>
  </si>
  <si>
    <t>Percent Total GHG Reduction From Bike Programs  2020</t>
  </si>
  <si>
    <t>This next section shows how to determine the percent of bike trips that replace motor vehicle trips.</t>
  </si>
  <si>
    <t>From HOW survey (What percent of your trips are made using each of the following methods? (Total must equal 100%)</t>
  </si>
  <si>
    <t>% driving alone</t>
  </si>
  <si>
    <t>% carpool (non-family)</t>
  </si>
  <si>
    <t>% bicycle</t>
  </si>
  <si>
    <t>% public transportation</t>
  </si>
  <si>
    <t>% walking</t>
  </si>
  <si>
    <t>% other</t>
  </si>
  <si>
    <t>1) Bike sharing will reduce mid-range from other cities 1.7 to 7/year</t>
  </si>
  <si>
    <t>2) Will be a 1 time bump in personal bike use from bike share of 2 (which equals 50% of current biking)</t>
  </si>
  <si>
    <t>Total driving = 42%</t>
  </si>
  <si>
    <t>42% of trips by "bikers" are by car</t>
  </si>
  <si>
    <t>3) Personal bikes from all other programs (10 miles/year, infrastructure, etc.) equals 25% increase/year from current base for 10 years equal 1 million VMT/year, 10% cumulative</t>
  </si>
  <si>
    <t xml:space="preserve">How much would bikers drive if they did not bike? </t>
  </si>
  <si>
    <t>4) 2007 Boston VMT assumed baseline to 2020…</t>
  </si>
  <si>
    <t>5) VMT from personsal vehicles account for 19% of GHG emissions in 2007 (and held constant 2020)</t>
  </si>
  <si>
    <t>total driving = 57%</t>
  </si>
  <si>
    <t>when bikers can't bike, 57% of trips would be by car</t>
  </si>
  <si>
    <t>Therefore cycling reduced driving by 15 percentage points. OR 15% of all bike trips replace car trips</t>
  </si>
  <si>
    <t xml:space="preserve">VMT Reduction From Car Share Programs in 2020 </t>
  </si>
  <si>
    <t>Current Shared Cars in Boston</t>
  </si>
  <si>
    <t>Annual VMT Reduction/Year</t>
  </si>
  <si>
    <t>Assume on 60% of VMT Reduction in Boston</t>
  </si>
  <si>
    <t>Total Current VMT Reduction/Year (millions)</t>
  </si>
  <si>
    <t>Incremental Car Sharing VMT Reduction in 2020</t>
  </si>
  <si>
    <t>Percent VMT Reduction from Car Sharing</t>
  </si>
  <si>
    <t>Percent Total GHG Reduction From Car Sharing 2020</t>
  </si>
  <si>
    <t>1) Zip Car current Boston membership 18,000, Zip Car estimates VMT reduction per membership at 2,500</t>
  </si>
  <si>
    <t>2) Assume four times as many shared cars in 2020 with 72,000 members (54,,000 incremental)--Zip Car estimated tripling its membership and assume other share companies enter market</t>
  </si>
  <si>
    <t>VMT Reduction From Other Programs--Enhancing Parking Freeze, Parking Meter Rates, Mass Transit Enhancement, and Parking Permits</t>
  </si>
  <si>
    <t xml:space="preserve">2007 Boston VMT (millions) </t>
  </si>
  <si>
    <t>Percent Reduction from Bikes and Car Sharing 2020</t>
  </si>
  <si>
    <t>Assume 100% Incremental Above Bikes/ Car Sharing</t>
  </si>
  <si>
    <t>REVIEW STEPHANIE'S STUFF AND PROBABLY INCREASE THIS</t>
  </si>
  <si>
    <t>Percent GHG Reduction From Other Programs 2020</t>
  </si>
  <si>
    <t>Summary VMT Reduction Savings</t>
  </si>
  <si>
    <t>City GHG</t>
  </si>
  <si>
    <t>Reduction</t>
  </si>
  <si>
    <t>Bike Programs</t>
  </si>
  <si>
    <t>Car Sharing Programs</t>
  </si>
  <si>
    <t>Other Programs (Parking, Mass Transit)</t>
  </si>
  <si>
    <t>Total From All VMT Programs</t>
  </si>
  <si>
    <t>Note: This assumes all VMT reduction have same GHG reduction value, when in fact City GHG/mile higher.</t>
  </si>
  <si>
    <t>CONSERVATIVE - Impact of 1,000 bike share system</t>
  </si>
  <si>
    <t>Impact of 1,000 bike share system</t>
  </si>
  <si>
    <t>annual bike trips created by bike share (source: Bike Share pro forma)</t>
  </si>
  <si>
    <t>days of operation of bike share  (source: Bike Share pro forma)</t>
  </si>
  <si>
    <t>daily new bike trips created by bike share (calculated)</t>
  </si>
  <si>
    <t>total daily trips in Boston (source: Access Boston)</t>
  </si>
  <si>
    <t>% of daily trips taken by car (source: Access Boston)</t>
  </si>
  <si>
    <t>total car tips per day in Boston (source: Access Boston)</t>
  </si>
  <si>
    <t>total bike trips per day in Boston - calculated</t>
  </si>
  <si>
    <t>percent of trips in core of Boston (Access Boston)</t>
  </si>
  <si>
    <t>total core bike trips in Boston - calculated</t>
  </si>
  <si>
    <t>increase in bike ridership in core due to bike share - calculated</t>
  </si>
  <si>
    <t>miles per bike trip using bike share - various bike share programs</t>
  </si>
  <si>
    <t>percent of bike share trips replacing car trips - based on DC data</t>
  </si>
  <si>
    <t>daily vehicle trips eliminated</t>
  </si>
  <si>
    <t>daily miles eliminated</t>
  </si>
  <si>
    <t>annual vehicle trips eliminated</t>
  </si>
  <si>
    <t>annual vmt eliminated</t>
  </si>
  <si>
    <t>CONSERVATIVE - Impact of 3,000 bike share system</t>
  </si>
  <si>
    <t xml:space="preserve"> Impact of 3,000 bike share system</t>
  </si>
  <si>
    <t>increase in bike ridership CITYWIDE due to bike share - calculated</t>
  </si>
  <si>
    <t>Bike Share Impact on Personal Biking</t>
  </si>
  <si>
    <t>Increase in bike ridership in Boston 2007-2009: (source: COB counts)</t>
  </si>
  <si>
    <t>Anticipated increase in personal bike trips because of bike share</t>
  </si>
  <si>
    <t>Boston Mode Split of cycling 2007, at launch of program (Source: American Commuter Survey)</t>
  </si>
  <si>
    <t>Total daily personal bike trips with bike share - estimates from other cities</t>
  </si>
  <si>
    <t>Boston Mode Split of cycling 2008, one year later (source: American Commuter Survey)</t>
  </si>
  <si>
    <t>Total daily new personal bike trips because of bike share</t>
  </si>
  <si>
    <t>miles per bike trip - various bike share programs</t>
  </si>
  <si>
    <t>percent  trips replacing car trips - based on DC data</t>
  </si>
  <si>
    <t>daily vehicle miles eliminated</t>
  </si>
  <si>
    <t xml:space="preserve">Pavley/CAFÉ GHG reduction </t>
  </si>
  <si>
    <t>Year</t>
  </si>
  <si>
    <t>Percent reduction in Massachusetts</t>
  </si>
  <si>
    <t>Fuel</t>
  </si>
  <si>
    <t xml:space="preserve">Electricity </t>
  </si>
  <si>
    <t xml:space="preserve">Boston Residential Waste GHG Mitigation </t>
  </si>
  <si>
    <t>MA DEP 2008 Numbers for Boston</t>
  </si>
  <si>
    <t>Generated (tons)</t>
  </si>
  <si>
    <t>Disposed (tons)</t>
  </si>
  <si>
    <t>Recycled (tons)</t>
  </si>
  <si>
    <t>Composted (tons)</t>
  </si>
  <si>
    <t>Hazardous (tons)</t>
  </si>
  <si>
    <t>Diverted (tons)</t>
  </si>
  <si>
    <t>Recycling rate</t>
  </si>
  <si>
    <t>PAYT Impact</t>
  </si>
  <si>
    <t>Combined Residential GHG reduction</t>
  </si>
  <si>
    <t xml:space="preserve">Incremental </t>
  </si>
  <si>
    <t>PAYT</t>
  </si>
  <si>
    <t>Curbside</t>
  </si>
  <si>
    <t>New disposal (tons)</t>
  </si>
  <si>
    <t xml:space="preserve">Total </t>
  </si>
  <si>
    <t xml:space="preserve">incremental GHG reduction </t>
  </si>
  <si>
    <t>Disposal reduction</t>
  </si>
  <si>
    <t>GHG reduction</t>
  </si>
  <si>
    <r>
      <t>Boston 2008 Residential GHG emissions (short tons eCO</t>
    </r>
    <r>
      <rPr>
        <vertAlign val="subscript"/>
        <sz val="10"/>
        <rFont val="Arial"/>
        <family val="2"/>
      </rPr>
      <t>2</t>
    </r>
    <r>
      <rPr>
        <sz val="10"/>
        <rFont val="Arial"/>
        <family val="2"/>
      </rPr>
      <t>)</t>
    </r>
  </si>
  <si>
    <t>Total Boston 2008 GHG emissions</t>
  </si>
  <si>
    <t>Curbside Organics</t>
  </si>
  <si>
    <t>Percent of Boston emission from residential waste</t>
  </si>
  <si>
    <t>Food waste (tons)</t>
  </si>
  <si>
    <t>Captured (tons)</t>
  </si>
  <si>
    <t xml:space="preserve">Incremental percent reduction in total Boston GHG </t>
  </si>
  <si>
    <t>Incremental diversion</t>
  </si>
  <si>
    <t>Boston recycling goal</t>
  </si>
  <si>
    <t>Combined programs (existing, PAYT, Curbside)</t>
  </si>
  <si>
    <t>Incremental to 50%</t>
  </si>
  <si>
    <t>Incremental percent reduction in total Boston GHG assuming 50% recycling rate</t>
  </si>
  <si>
    <t>Assumptions</t>
  </si>
  <si>
    <t>Mandatory curbside collection of separated food waste will capture 2/3 of what is generated</t>
  </si>
  <si>
    <t>All Boston waste-related GHG emissions are assumed to come from waste combustion, relative to the amount of waste disposed (i.e. tons of waste disposed multiplied by an emissions factor for combustion)</t>
  </si>
  <si>
    <t>No assumptions made about associated source reduction, which is likely and will further reduce disposal and thereby reduce residential waste GHG emission</t>
  </si>
  <si>
    <t>These calculations do not account for the impact of the full single stream recycling impact on Boston residential recycling rate</t>
  </si>
  <si>
    <t xml:space="preserve">Boston Commercial Waste GHG Mitigation </t>
  </si>
  <si>
    <t>Res Waste</t>
  </si>
  <si>
    <t>Comm waste</t>
  </si>
  <si>
    <t>Commercial Solid Waste Reduction</t>
  </si>
  <si>
    <t>Assume 70% diversion goal for commercial waste (i.e. 70% recycling rate)</t>
  </si>
  <si>
    <t>2007 Commercial generation (tons)</t>
  </si>
  <si>
    <t>2007 Commercial recycling (tons)</t>
  </si>
  <si>
    <t>2007 Commercial composting (tons)</t>
  </si>
  <si>
    <t>2007 Total commercial diversion (recycling + composting)</t>
  </si>
  <si>
    <t xml:space="preserve">2007 tonnages from MA DEP </t>
  </si>
  <si>
    <t>2007 Commercial recycling rate (Massachusetts)</t>
  </si>
  <si>
    <t xml:space="preserve">Assume Boston commercial recycling rate equal to state average </t>
  </si>
  <si>
    <t>Difference between 2007 rate and 70% goal (i.e. incremental)</t>
  </si>
  <si>
    <t>Assume program/policy implementation that will achieve commercial diversion goal of 70%</t>
  </si>
  <si>
    <t xml:space="preserve">MA Solid Waste Master Plan, 2006 revision: http://www.mass.gov/dep/recycle/priorities/swmprev.pdf </t>
  </si>
  <si>
    <t>MA 2007 Solid Waste Data Update: http://www.mass.gov/dep/recycle/priorities/07swdata.doc</t>
  </si>
  <si>
    <t>13% of residential waste is food waste (EPA)</t>
  </si>
  <si>
    <t xml:space="preserve">MA DEP PAYT Basics for Municipalities:http://www.mass.gov/dep/recycle/reduce/paytmuni.htm </t>
  </si>
  <si>
    <t>MA DEP 2008 Municipal Tonnage &amp; Recycling Rate Summary: http://www.mass.gov/dep/recycle/priorities/08rates.pdf</t>
  </si>
  <si>
    <t xml:space="preserve">Massachusetts Joint Statewide Three-Year Electric Efficiency Plan: http://www.ma-eeac.org/DPU.htm </t>
  </si>
  <si>
    <t>Massachusetts Joint Statewide Three-Year Gas Efficiency Plan: http://www.ma-eeac.org/DPU.htm</t>
  </si>
  <si>
    <t xml:space="preserve">Statewide Savings Targets and Performance Incentives for Gas Program Administrators - Approved 10-13-09: http://www.ma-eeac.org/docs/091013-KeyIssuesGas.pdf </t>
  </si>
  <si>
    <t xml:space="preserve">Statewide Savings Targets and Performance Incentives for Electric Program Administrators - Approved 10-6-09: http://www.ma-eeac.org/docs/091006-KeyIssuesOfferDOER-AG-EEAC-Approved.pdf </t>
  </si>
  <si>
    <t>Federal Appliance Standards GHG Reduction Imapcts</t>
  </si>
  <si>
    <t xml:space="preserve">Appliance Standards Awareness Project -- Ka-BOOM! The Power of Appliance Standards: http://www.standardsasap.org/documents/A091.pdf </t>
  </si>
  <si>
    <t xml:space="preserve">Appliance Standards Awareness Project -- State-Level Benefits from Federal Standards -- Massachusetts: http://www.standardsasap.org/state/2009%20federal%20analysis/states/fedappl_ma.pdf </t>
  </si>
  <si>
    <t>All GHG reduction potential from existing standards is included in the baseline</t>
  </si>
  <si>
    <t>No overlap between appliance standards and utility efficiency programs</t>
  </si>
  <si>
    <t>In reality, some GHG reduction from existing standards will not be in the baseline (i.e. will be incremental) and some new standards will overlap with utility programs, so we assume these cancel out and 2.3% reduction will be incremental</t>
  </si>
  <si>
    <t>References</t>
  </si>
  <si>
    <t>MA RPS GHG Reductions</t>
  </si>
  <si>
    <t>Some amount of the Green Communities Act bump from 0.5% per year to 1% per year is included in the baseline</t>
  </si>
  <si>
    <t>References:</t>
  </si>
  <si>
    <t>RPS Regulation as published and effective on October 19, 2007: http://www.mass.gov/Eoeea/docs/doer/rps/225cmr.pdf</t>
  </si>
  <si>
    <t xml:space="preserve">Emergency Regulations and Rulemaking for RPS Class I, RPS Class II, and APS: http://www.mass.gov/?pageID=eoeeaterminal&amp;L=5&amp;L0=Home&amp;L1=Energy%2c+Utilities+%26+Clean+Technologies&amp;L2=Renewable+Energy&amp;L3=Renewable+Portfolio+Standard&amp;L4=Green+Communities&amp;sid=Eoeea&amp;b=terminalcontent&amp;f=doer_rps_emergency-regs&amp;csid=Eoeea  </t>
  </si>
  <si>
    <t>NESCAUM, Northeast State GHG Emission Reduction Potential from Adoption of the California Motor Vehicle GHG Standards Summary of NESCAUM Analysis, October, 2005</t>
  </si>
  <si>
    <t xml:space="preserve">References: </t>
  </si>
  <si>
    <t>NESCAUM number includes a rebound, i.e. consideration that people will tend to drive more if cars are more efficient</t>
  </si>
  <si>
    <t>Percent Natural Gas Savings</t>
  </si>
  <si>
    <t>Existing NG efficiency is approximately 1/3 of 2012 target</t>
  </si>
  <si>
    <t>Assume 1.2% for 10 years, w/ avg 10 year measure life</t>
  </si>
  <si>
    <t>PAYT provides a 25% increase in the recycling rate (MA DEP)</t>
  </si>
  <si>
    <t>Baseline EE 2008 Per Year</t>
  </si>
  <si>
    <t>Baseline CHP 2008 Per Year</t>
  </si>
  <si>
    <t>Baseline assumptions from DOER and DOER's consultant Jeff Schlegel</t>
  </si>
  <si>
    <t xml:space="preserve"> If we just use the 1.2% total savings of the NG utility program as the  standard with a six-year build-up (too lenient? we assume we're basically starting from zero), annual percentage  incremental savings for the next ten years would be 0.2, 0.4, 0.6, 0.8, 1.0, 1.2 (x5), for a total of 9%. Fuel oil is aboutr 10 percent of the city's GHGs, which gives an overall reduction of 0.9%. Comments?</t>
  </si>
  <si>
    <t>Oil Efficiency</t>
  </si>
  <si>
    <t>Oil ramps up to same percentage savings/year natural gas acheives in 2012 by 2015</t>
  </si>
  <si>
    <t>New Savings Per Year by 2015</t>
  </si>
  <si>
    <t>Incremental Savings 2010 to 2015</t>
  </si>
  <si>
    <t>Incremental Svaings 2016 to 2020</t>
  </si>
  <si>
    <t>However, baseline for oil is assumed to be only 1/4 for oil compared to gas</t>
  </si>
  <si>
    <t>Low-Carbon Fuel Standard</t>
  </si>
  <si>
    <t>11 NE States currently considering LCFS for transportation and heating oil in NE</t>
  </si>
  <si>
    <t>Discussing 10% life-cycle reduction in carbon intensity.</t>
  </si>
  <si>
    <t>Start year is still uncertain, but could be 2015</t>
  </si>
  <si>
    <t>The Federal Renewable Fuel Standard would be part of the 10% (approximately 3% of the 10%)</t>
  </si>
  <si>
    <t>Reference:</t>
  </si>
  <si>
    <t>Carl</t>
  </si>
  <si>
    <t>Bike Program -- Alternative Calc</t>
  </si>
  <si>
    <t>total VMTs (2007 inventory)</t>
  </si>
  <si>
    <t>Bike share program (middle estimate)</t>
  </si>
  <si>
    <t>miles per bike trip using bike share (various bike share programs)</t>
  </si>
  <si>
    <t>proportion of bike share trips replacing car trips (DC data)</t>
  </si>
  <si>
    <t>annual vmt reduction (muliply previous three numbers)</t>
  </si>
  <si>
    <t>percent reduction in VMTs (reduction/total)</t>
  </si>
  <si>
    <t>All bike programs -- assume goal of 10% mode share for bicycles by 2020</t>
  </si>
  <si>
    <t>increase in bicycle mode share (10% goal - 1.5% current share according to American Commuter Survey)</t>
  </si>
  <si>
    <t>increase in daily bicycle trips in Boston (multiply previous two numbers)</t>
  </si>
  <si>
    <t>miles per bike trip (various bike share programs) - (though non-bike-share trips might, on average, be longer CS)</t>
  </si>
  <si>
    <t>proportion of bike trips replacing car trips (DC data)</t>
  </si>
  <si>
    <t>annualization factor (5x52 -- number of work days is smaller, but there are weekends, but winter has less biking, and so on)</t>
  </si>
  <si>
    <t>annual VMTs reduction (multiply previous four numbers)</t>
  </si>
  <si>
    <t>percent VMT share of total GHG (2007 inventory)</t>
  </si>
  <si>
    <t>percent reduction in total GHGs from bicycle programs (multiply previous two numbers)</t>
  </si>
  <si>
    <t>NESCCAF/NESCAUM, Introducing a Low Carbon Fuel Standards in the Northeast, July 2009</t>
  </si>
  <si>
    <t>LCFS GHG reduction impact</t>
  </si>
  <si>
    <t>DRAFT 12/10/09, F. Cummings</t>
  </si>
  <si>
    <t>GHG Conversion</t>
  </si>
  <si>
    <t>Summary</t>
  </si>
  <si>
    <t>CO2 #/MWh:</t>
  </si>
  <si>
    <t>Gross</t>
  </si>
  <si>
    <t>CO2 tons/GWh:</t>
  </si>
  <si>
    <t>City-Wide Base (All Sectors)</t>
  </si>
  <si>
    <t>C/I</t>
  </si>
  <si>
    <t>Conversion</t>
  </si>
  <si>
    <t>Tons CO2e</t>
  </si>
  <si>
    <t>Short Tons of CO2 equivalent/therm gas consumed/saved</t>
  </si>
  <si>
    <t>Electricity GWh</t>
  </si>
  <si>
    <t>Natural Gas therms</t>
  </si>
  <si>
    <t>Note: C/I electric includes streetlights; C/I gas does not include MWRA or MBTA</t>
  </si>
  <si>
    <t>kBTU/SF</t>
  </si>
  <si>
    <t>Electricity kWh</t>
  </si>
  <si>
    <t>EUI (kBTU/SF)</t>
  </si>
  <si>
    <t>Savings in 2020, per square foot:</t>
  </si>
  <si>
    <t>kBTU/SF savings</t>
  </si>
  <si>
    <t>Stretch Code</t>
  </si>
  <si>
    <t>50% above</t>
  </si>
  <si>
    <t>Anti-Idling</t>
  </si>
  <si>
    <t>Carl's notes 21Dec 09</t>
  </si>
  <si>
    <t>GHG Savings Charts</t>
  </si>
  <si>
    <t>GHG Savings by Primary Program Area</t>
  </si>
  <si>
    <t>Transporation</t>
  </si>
  <si>
    <t>GHG Savings by Individual Programs</t>
  </si>
  <si>
    <t>Car Sharing</t>
  </si>
  <si>
    <t>Other Programs--Mass Transit/Parking</t>
  </si>
  <si>
    <t>Remaining Emissions</t>
  </si>
  <si>
    <t>GHG Savings by Program Status</t>
  </si>
  <si>
    <t>GHG Savings by Program Jurisdiction</t>
  </si>
  <si>
    <t>State</t>
  </si>
  <si>
    <t>CAFÉ/PAVLEY assume 75% Federal/ 25% state</t>
  </si>
  <si>
    <t>Cool Roofing Savings</t>
  </si>
  <si>
    <t>Commercial</t>
  </si>
  <si>
    <t>Cool Roofing Analysis (2011-2020)</t>
  </si>
  <si>
    <t>Offset Emissions in 10 Years</t>
  </si>
  <si>
    <t>(Short ton CO2)</t>
  </si>
  <si>
    <t>Existing Residential</t>
  </si>
  <si>
    <t>New Residential</t>
  </si>
  <si>
    <t>Cool Roofing Area</t>
  </si>
  <si>
    <t>(Sq. Ft.)</t>
  </si>
  <si>
    <t>Existing Residential</t>
  </si>
  <si>
    <t>New Residential</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</si>
  <si>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</si>
  <si>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</si>
  <si>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residential total rooftop area and growth of new residential is an aggregate calculation for 1-family housing, 2-family housing, 3-family housing, condominums, and apartment unit complexes.</t>
  </si>
  <si>
    <t>4.  Assumed that residential property grows at a rate of 0.5% annually</t>
  </si>
  <si>
    <t>Mitigation Policy</t>
  </si>
  <si>
    <t>Term (Years)</t>
  </si>
  <si>
    <t>One-time Emission Offset (Short ton CO2/Sq. Ft.)</t>
  </si>
  <si>
    <t>Boston Residential</t>
  </si>
  <si>
    <t>Total Rooftop Area (Sq. Ft.)</t>
  </si>
  <si>
    <t>Roofing Replacement (Years)</t>
  </si>
  <si>
    <t>New Residential, Y/Y Growth Rate</t>
  </si>
  <si>
    <t>Average Rooftop Area</t>
  </si>
  <si>
    <t>Land Use</t>
  </si>
  <si>
    <t>Land Use Code</t>
  </si>
  <si>
    <t>Roofprint Sq Ft</t>
  </si>
  <si>
    <t>Avg Roofprint Sq Ft</t>
  </si>
  <si>
    <t>R1, R2, R3, R4, A, CM</t>
  </si>
  <si>
    <t>C, CL</t>
  </si>
  <si>
    <t>Mixed Use</t>
  </si>
  <si>
    <t>RC</t>
  </si>
  <si>
    <t>Institutional</t>
  </si>
  <si>
    <t>E, XG</t>
  </si>
  <si>
    <t>Industrial</t>
  </si>
  <si>
    <t>I</t>
  </si>
  <si>
    <t>Other/Unclassified</t>
  </si>
  <si>
    <t>RL, AH, Empty</t>
  </si>
  <si>
    <t>Offset Emissions in 10 Years</t>
  </si>
  <si>
    <t>(Short ton CO2)</t>
  </si>
  <si>
    <t>Existing C/I</t>
  </si>
  <si>
    <t>New C/I</t>
  </si>
  <si>
    <t>Cool Roofing Area</t>
  </si>
  <si>
    <t>(Sq. Ft.)</t>
  </si>
  <si>
    <t>ExistingC/I</t>
  </si>
  <si>
    <t>New C/I</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</si>
  <si>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</si>
  <si>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</si>
  <si>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C/I total rooftop area and growth of new C/I is an aggregate calculation for commercial, mixed use, institutional, industrial, and also the unclassified.</t>
  </si>
  <si>
    <t>4.  Assume that commercial, industrial, institutional, etc. properties grow at a rate of 0.5% annually</t>
  </si>
  <si>
    <t>Mitigation Policy</t>
  </si>
  <si>
    <t>Term (Years)</t>
  </si>
  <si>
    <t>One-time Emission Offset (Short ton CO2/Sq. Ft.)</t>
  </si>
  <si>
    <t>Boston C/I</t>
  </si>
  <si>
    <t>Total Rooftop Area (Sq. Ft.)</t>
  </si>
  <si>
    <t>Roofing Replacement (Years)</t>
  </si>
  <si>
    <t>New C/I, Year-over-Year Growth Rate</t>
  </si>
  <si>
    <t>Average Rooftop Area</t>
  </si>
  <si>
    <t>Avg Roofprint Sq Ft</t>
  </si>
  <si>
    <t>Green Roofing Analysis (2011-2020)</t>
  </si>
  <si>
    <t>Offset Emissions in 10 Years</t>
  </si>
  <si>
    <t>(Short ton CO2)</t>
  </si>
  <si>
    <t>Existing C/I</t>
  </si>
  <si>
    <t>New C/I</t>
  </si>
  <si>
    <t>Cool Roofing Area</t>
  </si>
  <si>
    <t>(Sq. Ft.)</t>
  </si>
  <si>
    <t>ExistingC/I</t>
  </si>
  <si>
    <t>New C/I</t>
  </si>
  <si>
    <t>Low-Carbon Fuel Standard/Renewable Fuel Standard (gasoline)</t>
  </si>
  <si>
    <t xml:space="preserve">LCFS/RFS (diesel) </t>
  </si>
  <si>
    <t>LCFS/RFS diesel</t>
  </si>
  <si>
    <t>Vehicle Size</t>
  </si>
  <si>
    <r>
      <t>CO</t>
    </r>
    <r>
      <rPr>
        <b/>
        <vertAlign val="subscript"/>
        <sz val="9"/>
        <rFont val="Georgia"/>
        <family val="1"/>
      </rPr>
      <t>2</t>
    </r>
    <r>
      <rPr>
        <b/>
        <sz val="9"/>
        <rFont val="Georgia"/>
        <family val="1"/>
      </rPr>
      <t xml:space="preserve"> emitted per minute of idling time</t>
    </r>
  </si>
  <si>
    <t>Small compact car</t>
  </si>
  <si>
    <t>.05 kg or 50 grams per minute</t>
  </si>
  <si>
    <t>Mid-size car</t>
  </si>
  <si>
    <t>.07 kg or 72 grams per minute</t>
  </si>
  <si>
    <t>Large car</t>
  </si>
  <si>
    <t>.08 kg or 82 grams per minute</t>
  </si>
  <si>
    <t>Small truck</t>
  </si>
  <si>
    <t>.09 kg or 90 grams per minute</t>
  </si>
  <si>
    <t>Large truck</t>
  </si>
  <si>
    <t>.12 kg or 120 grams per minute</t>
  </si>
  <si>
    <t>SUV</t>
  </si>
  <si>
    <t>.13 kg or 130 grams per minute</t>
  </si>
  <si>
    <t xml:space="preserve">Climate Change North, Teacher Handout: http://www.climatechangenorth.ca/section-LP/LP_16_HI_S_idling_SH.html </t>
  </si>
  <si>
    <t>Anti-idling</t>
  </si>
  <si>
    <t>10% of Boston Cars</t>
  </si>
  <si>
    <t>Enforcement of the anti-idling rule would decrease idling to 5 minutes per day (reduction of 50%)</t>
  </si>
  <si>
    <t>1 kilogram = 0.00110231131 short tons</t>
  </si>
  <si>
    <t>Short tons per minute</t>
  </si>
  <si>
    <t xml:space="preserve">Short ton conversion </t>
  </si>
  <si>
    <t>Average tons emitted per year from idling 5 minutes per day</t>
  </si>
  <si>
    <t>Boston has 300,000 cars (MA DEP)</t>
  </si>
  <si>
    <t>Of these, 10% idle 10 minutes per day (MA DEP)</t>
  </si>
  <si>
    <t>average</t>
  </si>
  <si>
    <t>GHG Savings by Fuel Type</t>
  </si>
  <si>
    <t>Natrual Gas</t>
  </si>
  <si>
    <t xml:space="preserve">Diesel </t>
  </si>
  <si>
    <t>Building labeling</t>
  </si>
  <si>
    <t>Energy conservation ordinance</t>
  </si>
  <si>
    <t>proportion of residences sold every year</t>
  </si>
  <si>
    <t>proportion of sellers/buyers who will act as a result of labeling info</t>
  </si>
  <si>
    <t>proportion of sellers/buyers who will need to act as a result of ordinance</t>
  </si>
  <si>
    <t>reduction in electricity use as a result of efficiency retrofits</t>
  </si>
  <si>
    <t>reduction in electricity use as a result of required efficiency retrofits</t>
  </si>
  <si>
    <t>years - length of time labeling requirement in effect, assuming 2015 start</t>
  </si>
  <si>
    <t>res. electricity share of total GHG inventory</t>
  </si>
  <si>
    <t>reduction in annual GHG emissions</t>
  </si>
  <si>
    <t>reduction in NG use as a result of efficiency retrofits</t>
  </si>
  <si>
    <t>res. NG share of total GHG inventory</t>
  </si>
  <si>
    <t>C/I electricity</t>
  </si>
  <si>
    <t>proportion of C/I sold every year</t>
  </si>
  <si>
    <t>proportion of C/I who will need to act as a result of ordinance</t>
  </si>
  <si>
    <t>years - length of time labeling requirement in effect, assuming 2010 start</t>
  </si>
  <si>
    <t>C/I electricity share of total GHG inventory</t>
  </si>
  <si>
    <t>C/I NG</t>
  </si>
  <si>
    <t>C/I NG share of total GHG inventory</t>
  </si>
  <si>
    <t>total annual GHG reduction from labeling requirement</t>
  </si>
  <si>
    <t>Elec.</t>
  </si>
  <si>
    <t>NG</t>
  </si>
  <si>
    <t>Res</t>
  </si>
  <si>
    <t>LCFS ASSUME 60% federal, 40% state for transportation, and 100% state for heating</t>
  </si>
  <si>
    <t>RGGI*</t>
  </si>
  <si>
    <t>Note: *Assuming that since reducing electricity by more than RGGI requirements, RGGI satisfied and not included separately.</t>
  </si>
  <si>
    <t>proportion of residential square footage sold every year</t>
  </si>
  <si>
    <t xml:space="preserve">proportion of C/I who will act annually as a result of labeling info </t>
  </si>
  <si>
    <t>reduction in NG and oil use as a result of efficiency retrofits</t>
  </si>
  <si>
    <t>reduction in annual GHG emissions in 2020</t>
  </si>
  <si>
    <t>Assume 1% of new roofs are green…</t>
  </si>
  <si>
    <t>Cars in Boston (residents and commuters)</t>
  </si>
  <si>
    <t>Inlcuding commuters doubles this to 600,000</t>
  </si>
  <si>
    <t>Not all of the cars will be used every day, so assume no use on weekends and use 261 as annual number of days when 10% idle 10 minutes</t>
  </si>
  <si>
    <t>kg/m2 CO2 reduced annually for commercial roofs</t>
  </si>
  <si>
    <t>square meters</t>
  </si>
  <si>
    <t>new per year</t>
  </si>
  <si>
    <t>Sq. Meters</t>
  </si>
  <si>
    <t>CO2 reduction per year</t>
  </si>
  <si>
    <t>kg</t>
  </si>
  <si>
    <t>short tons</t>
  </si>
  <si>
    <t>Emission factor for kg/m2 is from -- Potential Benefits from Cool Roofs on Commercial Buildings: http://www.springerlink.com/content/9r48k34558240825/fulltext.pdf</t>
  </si>
  <si>
    <t xml:space="preserve">Green roof bump over C/I cool roof </t>
  </si>
  <si>
    <t>Boston total emissions in 2020</t>
  </si>
  <si>
    <t xml:space="preserve">State-level benefits from Potential Federal Appliance Standards -- Massachusetts </t>
  </si>
  <si>
    <t>MA GHG in 2020 will be 100 million metric tons (MA DEP/DOER)</t>
  </si>
  <si>
    <t>short tons per year</t>
  </si>
  <si>
    <t>total Boston 2020 emissions</t>
  </si>
  <si>
    <t>From Ka-BOOM report: "In all, as required by a combination of court orders, Congressional deadlines, and the President's memorandum, over the next four years DOE is scheduled to complete new standards for twenty-six products."</t>
  </si>
  <si>
    <t>Percent reduction in MA in 2020 (i.e. statewide)</t>
  </si>
  <si>
    <t>VMT Reduction in 2020</t>
  </si>
  <si>
    <t>VMT 2007 Boston</t>
  </si>
  <si>
    <t>10% Reduction in 2020</t>
  </si>
  <si>
    <t>Other VMT Reduction Programs</t>
  </si>
  <si>
    <t>It is the judgment of City transportation planners that the combination of VMT measures can lead to ten percent difference by 2020.</t>
  </si>
  <si>
    <t>Other VMT Reduction Programs include parking freeze, parking meters, residential parking permits, increased mass transit, TOD, Smart Growth</t>
  </si>
  <si>
    <t>VMT (millions)</t>
  </si>
  <si>
    <t>% VMT Reduc</t>
  </si>
  <si>
    <t>% GHG Reduction</t>
  </si>
  <si>
    <t>Assume all savings are gasoline, not diesel</t>
  </si>
  <si>
    <t>percent reduction per year</t>
  </si>
  <si>
    <t>Percent reduction in 2020</t>
  </si>
  <si>
    <t>Residential Cool Roof 2020 GHG Reduction</t>
  </si>
  <si>
    <t>Commercial Cool Roof 2020 GHG Reduction</t>
  </si>
  <si>
    <t>Green Roof Incremental GHG Reduction</t>
  </si>
  <si>
    <t>Percent emissions reduction per year</t>
  </si>
  <si>
    <t>Roofing program GHG percent reduction in 2020</t>
  </si>
  <si>
    <t>Education and enforcement will leed to a reduction in 25% of the annual emissions</t>
  </si>
  <si>
    <t xml:space="preserve">Tons reduced in 2020 </t>
  </si>
  <si>
    <t>GHG Reduction Summary Table</t>
  </si>
  <si>
    <t>% Sector Baseline</t>
  </si>
  <si>
    <t>Total CO2 reduced in 2020 in MA (from table, metric tons)</t>
  </si>
  <si>
    <t>Total MA 2020 emissions (from MA DOER, metric tons)</t>
  </si>
  <si>
    <t>New Building Code and Stretch Code GHG Impacts</t>
  </si>
  <si>
    <t>New Construction: Both C/I and Res</t>
  </si>
  <si>
    <t>New Code Reductions</t>
  </si>
  <si>
    <t>BTU/kWh or BTU/Therm</t>
  </si>
  <si>
    <t>Annual New Construction Sq Ft</t>
  </si>
  <si>
    <t>Total kBTU/yr for New Construction</t>
  </si>
  <si>
    <t>Total Savings/Yr in GWh and therms</t>
  </si>
  <si>
    <t>GHG converstion factors</t>
  </si>
  <si>
    <t>Tons CO2 Savings</t>
  </si>
  <si>
    <t>% Savings</t>
  </si>
  <si>
    <t>Time Frame for New Codes as law (Assumption)</t>
  </si>
  <si>
    <t xml:space="preserve">Assume Stretch Code would have a 50% reduction from New Base Code </t>
  </si>
  <si>
    <r>
      <t xml:space="preserve">Energy Use/ Sq Ft, </t>
    </r>
    <r>
      <rPr>
        <b/>
        <u val="single"/>
        <sz val="11"/>
        <color indexed="8"/>
        <rFont val="Calibri"/>
        <family val="2"/>
      </rPr>
      <t>Current Code</t>
    </r>
    <r>
      <rPr>
        <b/>
        <sz val="11"/>
        <color indexed="8"/>
        <rFont val="Calibri"/>
        <family val="2"/>
      </rPr>
      <t xml:space="preserve"> </t>
    </r>
  </si>
  <si>
    <r>
      <t xml:space="preserve">Energy Use/ Sq Ft, </t>
    </r>
    <r>
      <rPr>
        <b/>
        <u val="single"/>
        <sz val="11"/>
        <color indexed="8"/>
        <rFont val="Calibri"/>
        <family val="2"/>
      </rPr>
      <t>New Code</t>
    </r>
  </si>
  <si>
    <t>Stretch code additional reduction:</t>
  </si>
  <si>
    <t>Buildings Related Programs--Prepared Originally by Fran Cummings, Peregrine Energy</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</si>
</sst>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_(* #,##0.000_);_(* \(#,##0.000\);_(* &quot;-&quot;??_);_(@_)"/>
    <numFmt numFmtId="173" formatCode="_(* #,##0.0000_);_(* \(#,##0.0000\);_(* &quot;-&quot;??_);_(@_)"/>
    <numFmt numFmtId="174" formatCode="0.0"/>
    <numFmt numFmtId="175" formatCode="0.000%"/>
    <numFmt numFmtId="176" formatCode="_(* #,##0.0000_);_(* \(#,##0.0000\);_(* &quot;-&quot;????_);_(@_)"/>
    <numFmt numFmtId="177" formatCode="_(* #,##0.000_);_(* \(#,##0.000\);_(* &quot;-&quot;???_);_(@_)"/>
    <numFmt numFmtId="178" formatCode="[$-409]dddd\,\ mmmm\ dd\,\ yyyy"/>
    <numFmt numFmtId="179" formatCode="[$-409]h:mm:ss\ AM/PM"/>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0%"/>
    <numFmt numFmtId="189" formatCode="0.00000%"/>
    <numFmt numFmtId="190" formatCode="0.000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0.0000000000"/>
    <numFmt numFmtId="199" formatCode="0.00000000000"/>
    <numFmt numFmtId="200" formatCode="#,##0.000"/>
    <numFmt numFmtId="201" formatCode="_(* #,##0.00000_);_(* \(#,##0.00000\);_(* &quot;-&quot;??_);_(@_)"/>
    <numFmt numFmtId="202" formatCode="_(* #,##0.000000_);_(* \(#,##0.000000\);_(* &quot;-&quot;??_);_(@_)"/>
    <numFmt numFmtId="203" formatCode="_(* #,##0.0000000_);_(* \(#,##0.0000000\);_(* &quot;-&quot;??_);_(@_)"/>
    <numFmt numFmtId="204" formatCode="_(&quot;$&quot;* #,##0_);_(&quot;$&quot;* \(#,##0\);_(&quot;$&quot;* &quot;-&quot;??_);_(@_)"/>
    <numFmt numFmtId="205" formatCode="_(* #,##0.000000000_);_(* \(#,##0.000000000\);_(* &quot;-&quot;??_);_(@_)"/>
    <numFmt numFmtId="206" formatCode="_(* #,##0.00000000000_);_(* \(#,##0.00000000000\);_(* &quot;-&quot;??_);_(@_)"/>
    <numFmt numFmtId="207" formatCode="_(* #,##0.00000000_);_(* \(#,##0.00000000\);_(* &quot;-&quot;??_);_(@_)"/>
    <numFmt numFmtId="208" formatCode="0.0000000000000000%"/>
    <numFmt numFmtId="209" formatCode="0.000000000000000%"/>
    <numFmt numFmtId="210" formatCode="0.00000000000000000%"/>
    <numFmt numFmtId="211" formatCode="_(* #,##0.00000000_);_(* \(#,##0.00000000\);_(* &quot;-&quot;????????_);_(@_)"/>
    <numFmt numFmtId="212" formatCode="_(* #,##0.00000000000_);_(* \(#,##0.00000000000\);_(* &quot;-&quot;???????????_);_(@_)"/>
  </numFmts>
  <fonts count="70">
    <font>
      <sz val="10"/>
      <name val="Arial"/>
      <family val="0"/>
    </font>
    <font>
      <sz val="8"/>
      <name val="Arial"/>
      <family val="0"/>
    </font>
    <font>
      <b/>
      <sz val="10"/>
      <name val="Arial"/>
      <family val="2"/>
    </font>
    <font>
      <sz val="14"/>
      <name val="Arial"/>
      <family val="0"/>
    </font>
    <font>
      <b/>
      <u val="single"/>
      <sz val="12"/>
      <name val="Arial"/>
      <family val="2"/>
    </font>
    <font>
      <sz val="10"/>
      <name val="Verdana"/>
      <family val="2"/>
    </font>
    <font>
      <b/>
      <sz val="10"/>
      <name val="Verdana"/>
      <family val="2"/>
    </font>
    <font>
      <u val="single"/>
      <sz val="10"/>
      <name val="Verdana"/>
      <family val="2"/>
    </font>
    <font>
      <b/>
      <u val="single"/>
      <sz val="10"/>
      <name val="Verdana"/>
      <family val="2"/>
    </font>
    <font>
      <i/>
      <sz val="10"/>
      <name val="Verdana"/>
      <family val="2"/>
    </font>
    <font>
      <u val="single"/>
      <sz val="10"/>
      <color indexed="61"/>
      <name val="Verdana"/>
      <family val="0"/>
    </font>
    <font>
      <u val="single"/>
      <sz val="10"/>
      <color indexed="12"/>
      <name val="Verdana"/>
      <family val="0"/>
    </font>
    <font>
      <sz val="9"/>
      <name val="Verdana"/>
      <family val="2"/>
    </font>
    <font>
      <sz val="11"/>
      <name val="Verdana"/>
      <family val="0"/>
    </font>
    <font>
      <sz val="7.5"/>
      <color indexed="18"/>
      <name val="Wingdings"/>
      <family val="0"/>
    </font>
    <font>
      <sz val="8"/>
      <color indexed="24"/>
      <name val="Wingdings"/>
      <family val="0"/>
    </font>
    <font>
      <b/>
      <sz val="12"/>
      <name val="Arial"/>
      <family val="2"/>
    </font>
    <font>
      <u val="single"/>
      <sz val="10"/>
      <name val="Arial"/>
      <family val="0"/>
    </font>
    <font>
      <vertAlign val="subscript"/>
      <sz val="10"/>
      <name val="Arial"/>
      <family val="2"/>
    </font>
    <font>
      <b/>
      <sz val="10"/>
      <color indexed="10"/>
      <name val="Arial"/>
      <family val="2"/>
    </font>
    <font>
      <sz val="11"/>
      <color indexed="8"/>
      <name val="Calibri"/>
      <family val="2"/>
    </font>
    <font>
      <i/>
      <sz val="11"/>
      <color indexed="8"/>
      <name val="Calibri"/>
      <family val="2"/>
    </font>
    <font>
      <sz val="11"/>
      <name val="Calibri"/>
      <family val="2"/>
    </font>
    <font>
      <b/>
      <sz val="11"/>
      <color indexed="8"/>
      <name val="Calibri"/>
      <family val="2"/>
    </font>
    <font>
      <sz val="11"/>
      <color indexed="10"/>
      <name val="Calibri"/>
      <family val="2"/>
    </font>
    <font>
      <b/>
      <sz val="11"/>
      <color indexed="10"/>
      <name val="Calibri"/>
      <family val="2"/>
    </font>
    <font>
      <sz val="11"/>
      <color indexed="55"/>
      <name val="Calibri"/>
      <family val="2"/>
    </font>
    <font>
      <sz val="11"/>
      <color indexed="12"/>
      <name val="Calibri"/>
      <family val="2"/>
    </font>
    <font>
      <sz val="11"/>
      <color indexed="20"/>
      <name val="Calibri"/>
      <family val="2"/>
    </font>
    <font>
      <sz val="14"/>
      <color indexed="8"/>
      <name val="Calibri"/>
      <family val="2"/>
    </font>
    <font>
      <sz val="11"/>
      <color indexed="48"/>
      <name val="Calibri"/>
      <family val="2"/>
    </font>
    <font>
      <b/>
      <sz val="12"/>
      <color indexed="9"/>
      <name val="Verdana"/>
      <family val="2"/>
    </font>
    <font>
      <sz val="10"/>
      <color indexed="9"/>
      <name val="Verdana"/>
      <family val="2"/>
    </font>
    <font>
      <b/>
      <sz val="10"/>
      <color indexed="9"/>
      <name val="Verdana"/>
      <family val="2"/>
    </font>
    <font>
      <b/>
      <sz val="10"/>
      <color indexed="17"/>
      <name val="Verdana"/>
      <family val="2"/>
    </font>
    <font>
      <b/>
      <i/>
      <sz val="10"/>
      <color indexed="9"/>
      <name val="Verdana"/>
      <family val="2"/>
    </font>
    <font>
      <b/>
      <sz val="10"/>
      <color indexed="21"/>
      <name val="Verdana"/>
      <family val="2"/>
    </font>
    <font>
      <b/>
      <sz val="8"/>
      <name val="Tahoma"/>
      <family val="2"/>
    </font>
    <font>
      <sz val="8"/>
      <name val="Tahoma"/>
      <family val="2"/>
    </font>
    <font>
      <i/>
      <sz val="10"/>
      <name val="Arial"/>
      <family val="0"/>
    </font>
    <font>
      <b/>
      <i/>
      <sz val="10"/>
      <color indexed="21"/>
      <name val="Verdana"/>
      <family val="0"/>
    </font>
    <font>
      <sz val="9"/>
      <name val="Georgia"/>
      <family val="1"/>
    </font>
    <font>
      <b/>
      <sz val="9"/>
      <name val="Georgia"/>
      <family val="1"/>
    </font>
    <font>
      <b/>
      <vertAlign val="subscript"/>
      <sz val="9"/>
      <name val="Georgia"/>
      <family val="1"/>
    </font>
    <font>
      <b/>
      <i/>
      <sz val="10"/>
      <name val="Arial"/>
      <family val="2"/>
    </font>
    <font>
      <sz val="10"/>
      <color indexed="8"/>
      <name val="Arial"/>
      <family val="0"/>
    </font>
    <font>
      <sz val="9.2"/>
      <color indexed="8"/>
      <name val="Arial"/>
      <family val="0"/>
    </font>
    <font>
      <sz val="12"/>
      <color indexed="8"/>
      <name val="Arial"/>
      <family val="0"/>
    </font>
    <font>
      <sz val="7.35"/>
      <color indexed="8"/>
      <name val="Arial"/>
      <family val="0"/>
    </font>
    <font>
      <sz val="11.75"/>
      <color indexed="8"/>
      <name val="Arial"/>
      <family val="0"/>
    </font>
    <font>
      <sz val="8"/>
      <name val="Verdana"/>
      <family val="0"/>
    </font>
    <font>
      <b/>
      <sz val="10"/>
      <color indexed="9"/>
      <name val="Arial"/>
      <family val="0"/>
    </font>
    <font>
      <b/>
      <sz val="12"/>
      <name val="Verdana"/>
      <family val="2"/>
    </font>
    <font>
      <b/>
      <sz val="12"/>
      <color indexed="9"/>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2"/>
      <color indexed="8"/>
      <name val="Arial"/>
      <family val="0"/>
    </font>
    <font>
      <b/>
      <u val="single"/>
      <sz val="11"/>
      <color indexed="8"/>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top style="thin"/>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28" fillId="3" borderId="0" applyNumberFormat="0" applyBorder="0" applyAlignment="0" applyProtection="0"/>
    <xf numFmtId="0" fontId="55" fillId="20" borderId="1" applyNumberFormat="0" applyAlignment="0" applyProtection="0"/>
    <xf numFmtId="0" fontId="5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7" borderId="1" applyNumberFormat="0" applyAlignment="0" applyProtection="0"/>
    <xf numFmtId="0" fontId="63" fillId="0" borderId="6" applyNumberFormat="0" applyFill="0" applyAlignment="0" applyProtection="0"/>
    <xf numFmtId="0" fontId="64" fillId="22" borderId="0" applyNumberFormat="0" applyBorder="0" applyAlignment="0" applyProtection="0"/>
    <xf numFmtId="0" fontId="0" fillId="23" borderId="7" applyNumberFormat="0" applyFont="0" applyAlignment="0" applyProtection="0"/>
    <xf numFmtId="0" fontId="65" fillId="20"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386">
    <xf numFmtId="0" fontId="0" fillId="0" borderId="0" xfId="0" applyAlignment="1">
      <alignment/>
    </xf>
    <xf numFmtId="164" fontId="0" fillId="0" borderId="0" xfId="0" applyNumberFormat="1" applyAlignment="1">
      <alignment/>
    </xf>
    <xf numFmtId="9" fontId="0" fillId="0" borderId="0" xfId="0" applyNumberFormat="1" applyAlignment="1">
      <alignment/>
    </xf>
    <xf numFmtId="0" fontId="3" fillId="0" borderId="0" xfId="0" applyFont="1" applyAlignment="1">
      <alignment/>
    </xf>
    <xf numFmtId="0" fontId="2" fillId="0" borderId="0" xfId="0" applyFont="1" applyAlignment="1">
      <alignment/>
    </xf>
    <xf numFmtId="164" fontId="4" fillId="0" borderId="0" xfId="0" applyNumberFormat="1" applyFont="1" applyAlignment="1">
      <alignment/>
    </xf>
    <xf numFmtId="0" fontId="4" fillId="0" borderId="0" xfId="0" applyFont="1" applyAlignment="1">
      <alignment/>
    </xf>
    <xf numFmtId="9" fontId="4" fillId="0" borderId="0" xfId="0" applyNumberFormat="1" applyFont="1" applyAlignment="1">
      <alignment/>
    </xf>
    <xf numFmtId="0" fontId="5" fillId="0" borderId="0" xfId="0" applyFont="1" applyAlignment="1">
      <alignment/>
    </xf>
    <xf numFmtId="0" fontId="6" fillId="0" borderId="0" xfId="0" applyFont="1" applyAlignment="1">
      <alignment/>
    </xf>
    <xf numFmtId="0" fontId="6" fillId="0" borderId="10" xfId="0" applyFont="1" applyBorder="1" applyAlignment="1">
      <alignment/>
    </xf>
    <xf numFmtId="0" fontId="7" fillId="0" borderId="0" xfId="0" applyFont="1" applyAlignment="1">
      <alignment horizontal="center"/>
    </xf>
    <xf numFmtId="0" fontId="8" fillId="0" borderId="0" xfId="0" applyFont="1" applyAlignment="1">
      <alignment horizontal="center"/>
    </xf>
    <xf numFmtId="3" fontId="5" fillId="0" borderId="0" xfId="0" applyNumberFormat="1" applyFont="1" applyAlignment="1">
      <alignment/>
    </xf>
    <xf numFmtId="0" fontId="8" fillId="0" borderId="0" xfId="0" applyFont="1" applyAlignment="1">
      <alignment/>
    </xf>
    <xf numFmtId="165" fontId="9" fillId="0" borderId="0" xfId="42" applyNumberFormat="1" applyFont="1" applyAlignment="1">
      <alignment/>
    </xf>
    <xf numFmtId="165" fontId="5" fillId="0" borderId="0" xfId="42" applyNumberFormat="1" applyFont="1" applyAlignment="1">
      <alignment/>
    </xf>
    <xf numFmtId="165" fontId="5" fillId="0" borderId="0" xfId="42" applyNumberFormat="1" applyFont="1" applyBorder="1" applyAlignment="1">
      <alignment/>
    </xf>
    <xf numFmtId="165" fontId="5" fillId="0" borderId="0" xfId="42" applyNumberFormat="1" applyFont="1" applyAlignment="1">
      <alignment horizontal="center"/>
    </xf>
    <xf numFmtId="165" fontId="5" fillId="0" borderId="11" xfId="42" applyNumberFormat="1" applyFont="1" applyBorder="1" applyAlignment="1">
      <alignment/>
    </xf>
    <xf numFmtId="0" fontId="5" fillId="0" borderId="0" xfId="0" applyFont="1" applyBorder="1" applyAlignment="1">
      <alignment/>
    </xf>
    <xf numFmtId="165" fontId="8" fillId="0" borderId="0" xfId="42" applyNumberFormat="1" applyFont="1" applyAlignment="1">
      <alignment/>
    </xf>
    <xf numFmtId="165" fontId="5" fillId="0" borderId="11" xfId="42" applyNumberFormat="1" applyFont="1" applyBorder="1" applyAlignment="1">
      <alignment horizontal="right"/>
    </xf>
    <xf numFmtId="3" fontId="5" fillId="0" borderId="11" xfId="0" applyNumberFormat="1" applyFont="1" applyBorder="1" applyAlignment="1">
      <alignment/>
    </xf>
    <xf numFmtId="0" fontId="5" fillId="0" borderId="0" xfId="0" applyFont="1" applyAlignment="1">
      <alignment horizontal="left"/>
    </xf>
    <xf numFmtId="165" fontId="5" fillId="0" borderId="0" xfId="42" applyNumberFormat="1" applyFont="1" applyAlignment="1">
      <alignment horizontal="left"/>
    </xf>
    <xf numFmtId="165" fontId="5" fillId="0" borderId="0" xfId="0" applyNumberFormat="1" applyFont="1" applyAlignment="1">
      <alignment/>
    </xf>
    <xf numFmtId="165" fontId="5" fillId="0" borderId="0" xfId="42" applyNumberFormat="1" applyFont="1" applyBorder="1" applyAlignment="1">
      <alignment horizontal="center"/>
    </xf>
    <xf numFmtId="0" fontId="5" fillId="0" borderId="0" xfId="0" applyFont="1" applyAlignment="1">
      <alignment horizontal="center"/>
    </xf>
    <xf numFmtId="165" fontId="5" fillId="0" borderId="11" xfId="42" applyNumberFormat="1" applyFont="1" applyFill="1" applyBorder="1" applyAlignment="1">
      <alignment/>
    </xf>
    <xf numFmtId="165" fontId="5" fillId="0" borderId="0" xfId="42" applyNumberFormat="1" applyFont="1" applyFill="1" applyAlignment="1">
      <alignment/>
    </xf>
    <xf numFmtId="3" fontId="5" fillId="0" borderId="0" xfId="0" applyNumberFormat="1" applyFont="1" applyBorder="1" applyAlignment="1">
      <alignment/>
    </xf>
    <xf numFmtId="0" fontId="5" fillId="0" borderId="0" xfId="0" applyFont="1" applyBorder="1" applyAlignment="1">
      <alignment horizontal="left"/>
    </xf>
    <xf numFmtId="0" fontId="8" fillId="0" borderId="0" xfId="0" applyFont="1" applyFill="1" applyBorder="1" applyAlignment="1">
      <alignment horizontal="left"/>
    </xf>
    <xf numFmtId="165" fontId="8" fillId="0" borderId="0" xfId="42" applyNumberFormat="1" applyFont="1" applyFill="1" applyBorder="1" applyAlignment="1">
      <alignment horizontal="left"/>
    </xf>
    <xf numFmtId="0" fontId="5" fillId="0" borderId="0" xfId="0" applyFont="1" applyFill="1" applyBorder="1" applyAlignment="1">
      <alignment horizontal="center"/>
    </xf>
    <xf numFmtId="0" fontId="7" fillId="0" borderId="0" xfId="0" applyFont="1" applyAlignment="1">
      <alignment/>
    </xf>
    <xf numFmtId="10" fontId="5" fillId="0" borderId="0" xfId="59" applyNumberFormat="1" applyFont="1" applyAlignment="1">
      <alignment/>
    </xf>
    <xf numFmtId="10" fontId="5" fillId="0" borderId="0" xfId="0" applyNumberFormat="1" applyFont="1" applyAlignment="1">
      <alignment/>
    </xf>
    <xf numFmtId="0" fontId="6"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center" wrapText="1"/>
    </xf>
    <xf numFmtId="0" fontId="0" fillId="0" borderId="0" xfId="0" applyAlignment="1">
      <alignment/>
    </xf>
    <xf numFmtId="165" fontId="12" fillId="0" borderId="0" xfId="42" applyNumberFormat="1" applyFont="1" applyAlignment="1">
      <alignment horizontal="right"/>
    </xf>
    <xf numFmtId="164" fontId="0" fillId="0" borderId="0" xfId="42" applyNumberFormat="1" applyFont="1" applyAlignment="1">
      <alignment/>
    </xf>
    <xf numFmtId="165" fontId="0" fillId="0" borderId="0" xfId="42" applyNumberFormat="1" applyFont="1" applyAlignment="1">
      <alignment/>
    </xf>
    <xf numFmtId="165" fontId="0" fillId="0" borderId="13" xfId="42" applyNumberFormat="1" applyFont="1" applyBorder="1" applyAlignment="1">
      <alignment/>
    </xf>
    <xf numFmtId="0" fontId="0" fillId="0" borderId="14" xfId="0" applyBorder="1" applyAlignment="1">
      <alignment/>
    </xf>
    <xf numFmtId="2" fontId="0" fillId="0" borderId="13" xfId="42" applyNumberFormat="1" applyFont="1" applyBorder="1" applyAlignment="1">
      <alignment/>
    </xf>
    <xf numFmtId="165" fontId="0" fillId="0" borderId="15" xfId="42" applyNumberFormat="1" applyFont="1" applyBorder="1" applyAlignment="1">
      <alignment/>
    </xf>
    <xf numFmtId="0" fontId="0" fillId="0" borderId="16" xfId="0" applyBorder="1" applyAlignment="1">
      <alignment/>
    </xf>
    <xf numFmtId="165" fontId="0" fillId="0" borderId="11" xfId="42" applyNumberFormat="1" applyFont="1" applyBorder="1" applyAlignment="1">
      <alignment/>
    </xf>
    <xf numFmtId="0" fontId="6" fillId="0" borderId="17" xfId="0" applyFont="1" applyBorder="1" applyAlignment="1">
      <alignment/>
    </xf>
    <xf numFmtId="165" fontId="5" fillId="0" borderId="17" xfId="42" applyNumberFormat="1" applyFont="1" applyBorder="1" applyAlignment="1">
      <alignment/>
    </xf>
    <xf numFmtId="164" fontId="0" fillId="0" borderId="17" xfId="42" applyNumberFormat="1" applyFont="1" applyBorder="1" applyAlignment="1">
      <alignment/>
    </xf>
    <xf numFmtId="165" fontId="0" fillId="0" borderId="17" xfId="42" applyNumberFormat="1" applyFont="1" applyBorder="1" applyAlignment="1">
      <alignment/>
    </xf>
    <xf numFmtId="2" fontId="0" fillId="0" borderId="0" xfId="42" applyNumberFormat="1" applyFont="1" applyAlignment="1">
      <alignment/>
    </xf>
    <xf numFmtId="165" fontId="0" fillId="0" borderId="18" xfId="42" applyNumberFormat="1" applyFont="1" applyBorder="1" applyAlignment="1">
      <alignment/>
    </xf>
    <xf numFmtId="0" fontId="0" fillId="0" borderId="19" xfId="0" applyBorder="1" applyAlignment="1">
      <alignment/>
    </xf>
    <xf numFmtId="165" fontId="0" fillId="0" borderId="0" xfId="0" applyNumberFormat="1" applyAlignment="1">
      <alignment/>
    </xf>
    <xf numFmtId="165" fontId="0" fillId="0" borderId="13" xfId="0" applyNumberFormat="1" applyBorder="1" applyAlignment="1">
      <alignment/>
    </xf>
    <xf numFmtId="165" fontId="0" fillId="0" borderId="15" xfId="0" applyNumberFormat="1" applyBorder="1" applyAlignment="1">
      <alignment/>
    </xf>
    <xf numFmtId="0" fontId="0" fillId="0" borderId="17" xfId="0" applyBorder="1" applyAlignment="1">
      <alignment/>
    </xf>
    <xf numFmtId="165" fontId="0" fillId="0" borderId="18" xfId="0" applyNumberFormat="1" applyBorder="1" applyAlignment="1">
      <alignment/>
    </xf>
    <xf numFmtId="0" fontId="0" fillId="0" borderId="0" xfId="0" applyAlignment="1">
      <alignment horizontal="center"/>
    </xf>
    <xf numFmtId="165" fontId="0" fillId="0" borderId="0" xfId="42" applyNumberFormat="1" applyFont="1" applyAlignment="1">
      <alignment horizontal="center"/>
    </xf>
    <xf numFmtId="165" fontId="0" fillId="0" borderId="0" xfId="42" applyNumberFormat="1" applyFont="1" applyBorder="1" applyAlignment="1">
      <alignment/>
    </xf>
    <xf numFmtId="164" fontId="0" fillId="0" borderId="0" xfId="42" applyNumberFormat="1" applyFont="1" applyBorder="1" applyAlignment="1">
      <alignment/>
    </xf>
    <xf numFmtId="165" fontId="6" fillId="0" borderId="0" xfId="42" applyNumberFormat="1" applyFont="1" applyAlignment="1">
      <alignment/>
    </xf>
    <xf numFmtId="0" fontId="0" fillId="0" borderId="17" xfId="0" applyBorder="1" applyAlignment="1">
      <alignment horizontal="center"/>
    </xf>
    <xf numFmtId="0" fontId="6" fillId="0" borderId="0" xfId="0" applyFont="1" applyFill="1" applyBorder="1" applyAlignment="1">
      <alignment horizontal="center"/>
    </xf>
    <xf numFmtId="165" fontId="6" fillId="0" borderId="0" xfId="42" applyNumberFormat="1" applyFont="1" applyFill="1" applyBorder="1" applyAlignment="1">
      <alignment horizontal="center"/>
    </xf>
    <xf numFmtId="165" fontId="0" fillId="0" borderId="11" xfId="0" applyNumberFormat="1" applyBorder="1" applyAlignment="1">
      <alignment/>
    </xf>
    <xf numFmtId="0" fontId="5" fillId="0" borderId="17" xfId="0" applyFont="1" applyBorder="1" applyAlignment="1">
      <alignment horizontal="left"/>
    </xf>
    <xf numFmtId="165" fontId="0" fillId="0" borderId="17" xfId="0" applyNumberFormat="1" applyBorder="1" applyAlignment="1">
      <alignment/>
    </xf>
    <xf numFmtId="0" fontId="6" fillId="0" borderId="0" xfId="0" applyFont="1" applyAlignment="1">
      <alignment wrapText="1"/>
    </xf>
    <xf numFmtId="165" fontId="13" fillId="0" borderId="0" xfId="0" applyNumberFormat="1" applyFont="1" applyAlignment="1">
      <alignment wrapText="1"/>
    </xf>
    <xf numFmtId="165" fontId="6" fillId="0" borderId="0" xfId="42" applyNumberFormat="1" applyFont="1" applyAlignment="1">
      <alignment wrapText="1"/>
    </xf>
    <xf numFmtId="0" fontId="12" fillId="0" borderId="0" xfId="0" applyFont="1" applyAlignment="1">
      <alignment/>
    </xf>
    <xf numFmtId="43" fontId="12" fillId="0" borderId="0" xfId="0" applyNumberFormat="1" applyFont="1" applyAlignment="1">
      <alignment/>
    </xf>
    <xf numFmtId="165" fontId="12" fillId="0" borderId="0" xfId="0" applyNumberFormat="1" applyFont="1" applyAlignment="1">
      <alignment/>
    </xf>
    <xf numFmtId="43" fontId="0" fillId="0" borderId="0" xfId="0" applyNumberFormat="1" applyAlignment="1">
      <alignment/>
    </xf>
    <xf numFmtId="0" fontId="0" fillId="24" borderId="0" xfId="0" applyFill="1" applyAlignment="1">
      <alignment/>
    </xf>
    <xf numFmtId="165" fontId="0" fillId="24" borderId="13" xfId="42" applyNumberFormat="1" applyFont="1" applyFill="1" applyBorder="1" applyAlignment="1">
      <alignment/>
    </xf>
    <xf numFmtId="9" fontId="0" fillId="24" borderId="0" xfId="0" applyNumberFormat="1" applyFill="1" applyAlignment="1">
      <alignment/>
    </xf>
    <xf numFmtId="165" fontId="0" fillId="24" borderId="15" xfId="42" applyNumberFormat="1" applyFont="1" applyFill="1" applyBorder="1" applyAlignment="1">
      <alignment/>
    </xf>
    <xf numFmtId="165" fontId="0" fillId="24" borderId="18" xfId="42" applyNumberFormat="1" applyFont="1" applyFill="1" applyBorder="1" applyAlignment="1">
      <alignment/>
    </xf>
    <xf numFmtId="165" fontId="0" fillId="24" borderId="0" xfId="0" applyNumberFormat="1" applyFill="1" applyAlignment="1">
      <alignment/>
    </xf>
    <xf numFmtId="165" fontId="0" fillId="24" borderId="13" xfId="0" applyNumberFormat="1" applyFill="1" applyBorder="1" applyAlignment="1">
      <alignment/>
    </xf>
    <xf numFmtId="9" fontId="0" fillId="24" borderId="0" xfId="0" applyNumberFormat="1" applyFill="1" applyBorder="1" applyAlignment="1">
      <alignment/>
    </xf>
    <xf numFmtId="165" fontId="0" fillId="24" borderId="15" xfId="0" applyNumberFormat="1" applyFill="1" applyBorder="1" applyAlignment="1">
      <alignment/>
    </xf>
    <xf numFmtId="165" fontId="0" fillId="24" borderId="18" xfId="0" applyNumberFormat="1" applyFill="1" applyBorder="1" applyAlignment="1">
      <alignment/>
    </xf>
    <xf numFmtId="0" fontId="14" fillId="0" borderId="0" xfId="0" applyFont="1" applyAlignment="1">
      <alignment/>
    </xf>
    <xf numFmtId="0" fontId="15" fillId="0" borderId="0" xfId="0" applyFont="1" applyAlignment="1">
      <alignment/>
    </xf>
    <xf numFmtId="164" fontId="0" fillId="24" borderId="0" xfId="0" applyNumberFormat="1" applyFill="1" applyAlignment="1">
      <alignment/>
    </xf>
    <xf numFmtId="0" fontId="16" fillId="0" borderId="0" xfId="0" applyFont="1" applyAlignment="1">
      <alignment/>
    </xf>
    <xf numFmtId="0" fontId="0" fillId="0" borderId="0" xfId="0" applyAlignment="1">
      <alignment vertical="top" wrapText="1"/>
    </xf>
    <xf numFmtId="0" fontId="0" fillId="0" borderId="0" xfId="0" applyFill="1" applyAlignment="1">
      <alignment vertical="top" wrapText="1"/>
    </xf>
    <xf numFmtId="0" fontId="0" fillId="20" borderId="0" xfId="0" applyFill="1" applyAlignment="1">
      <alignment vertical="top" wrapText="1"/>
    </xf>
    <xf numFmtId="0" fontId="0" fillId="17" borderId="0" xfId="0" applyFont="1" applyFill="1" applyAlignment="1">
      <alignment vertical="top" wrapText="1"/>
    </xf>
    <xf numFmtId="0" fontId="0" fillId="0" borderId="0" xfId="0" applyFill="1" applyAlignment="1">
      <alignment/>
    </xf>
    <xf numFmtId="174" fontId="0" fillId="0" borderId="0" xfId="0" applyNumberFormat="1" applyAlignment="1">
      <alignment/>
    </xf>
    <xf numFmtId="3" fontId="0" fillId="0" borderId="0" xfId="0" applyNumberFormat="1" applyAlignment="1">
      <alignment/>
    </xf>
    <xf numFmtId="174" fontId="0" fillId="17" borderId="0" xfId="0" applyNumberFormat="1" applyFont="1" applyFill="1" applyAlignment="1">
      <alignment/>
    </xf>
    <xf numFmtId="174" fontId="0" fillId="0" borderId="0" xfId="0" applyNumberFormat="1" applyFill="1" applyAlignment="1">
      <alignment/>
    </xf>
    <xf numFmtId="174" fontId="0" fillId="0" borderId="0" xfId="0" applyNumberFormat="1" applyFont="1" applyFill="1" applyAlignment="1">
      <alignment/>
    </xf>
    <xf numFmtId="164" fontId="0" fillId="0" borderId="0" xfId="0" applyNumberFormat="1" applyFill="1" applyAlignment="1">
      <alignment/>
    </xf>
    <xf numFmtId="0" fontId="0" fillId="20" borderId="0" xfId="0" applyFill="1" applyAlignment="1">
      <alignment/>
    </xf>
    <xf numFmtId="0" fontId="0" fillId="0" borderId="0" xfId="0" applyAlignment="1">
      <alignment horizontal="center" vertical="top" wrapText="1"/>
    </xf>
    <xf numFmtId="1" fontId="0" fillId="0" borderId="0" xfId="0" applyNumberFormat="1" applyFill="1" applyAlignment="1">
      <alignment horizontal="center" vertical="top" wrapText="1"/>
    </xf>
    <xf numFmtId="1" fontId="0" fillId="0" borderId="0" xfId="0" applyNumberFormat="1" applyAlignment="1">
      <alignment/>
    </xf>
    <xf numFmtId="1" fontId="0" fillId="0" borderId="0" xfId="0" applyNumberFormat="1" applyFill="1" applyAlignment="1">
      <alignment vertical="top" wrapText="1"/>
    </xf>
    <xf numFmtId="0" fontId="0" fillId="24" borderId="0" xfId="0" applyFont="1" applyFill="1" applyAlignment="1">
      <alignment/>
    </xf>
    <xf numFmtId="0" fontId="0" fillId="0" borderId="0" xfId="0" applyFont="1" applyAlignment="1">
      <alignment/>
    </xf>
    <xf numFmtId="46" fontId="0" fillId="0" borderId="0" xfId="0" applyNumberFormat="1" applyAlignment="1">
      <alignment/>
    </xf>
    <xf numFmtId="0" fontId="17" fillId="0" borderId="0" xfId="0" applyFont="1" applyAlignment="1">
      <alignment/>
    </xf>
    <xf numFmtId="0" fontId="2" fillId="0" borderId="0" xfId="0" applyFont="1" applyAlignment="1">
      <alignment/>
    </xf>
    <xf numFmtId="4" fontId="0" fillId="0" borderId="0" xfId="0" applyNumberFormat="1" applyAlignment="1">
      <alignment/>
    </xf>
    <xf numFmtId="166" fontId="0" fillId="0" borderId="0" xfId="0" applyNumberFormat="1" applyAlignment="1">
      <alignment/>
    </xf>
    <xf numFmtId="9" fontId="0" fillId="0" borderId="0" xfId="0" applyNumberFormat="1" applyFill="1" applyAlignment="1">
      <alignment/>
    </xf>
    <xf numFmtId="2" fontId="0" fillId="0" borderId="0" xfId="0" applyNumberFormat="1" applyAlignment="1">
      <alignment/>
    </xf>
    <xf numFmtId="1" fontId="0" fillId="24" borderId="0" xfId="0" applyNumberFormat="1" applyFill="1" applyAlignment="1">
      <alignment/>
    </xf>
    <xf numFmtId="3" fontId="0" fillId="24" borderId="0" xfId="0" applyNumberFormat="1" applyFill="1" applyAlignment="1">
      <alignment/>
    </xf>
    <xf numFmtId="3" fontId="0" fillId="0" borderId="0" xfId="0" applyNumberFormat="1" applyFill="1" applyAlignment="1">
      <alignment/>
    </xf>
    <xf numFmtId="1" fontId="0" fillId="0" borderId="0" xfId="0" applyNumberFormat="1" applyFill="1" applyAlignment="1">
      <alignment/>
    </xf>
    <xf numFmtId="9" fontId="0" fillId="3" borderId="0" xfId="0" applyNumberFormat="1" applyFill="1" applyAlignment="1">
      <alignment/>
    </xf>
    <xf numFmtId="0" fontId="0" fillId="3" borderId="0" xfId="0" applyFill="1" applyAlignment="1">
      <alignment/>
    </xf>
    <xf numFmtId="10" fontId="0" fillId="3" borderId="0" xfId="0" applyNumberFormat="1" applyFill="1" applyAlignment="1">
      <alignment/>
    </xf>
    <xf numFmtId="0" fontId="0" fillId="3" borderId="0" xfId="0" applyFill="1" applyAlignment="1">
      <alignment/>
    </xf>
    <xf numFmtId="3" fontId="0" fillId="7" borderId="0" xfId="0" applyNumberFormat="1" applyFill="1" applyAlignment="1">
      <alignment/>
    </xf>
    <xf numFmtId="1" fontId="0" fillId="7" borderId="0" xfId="0" applyNumberFormat="1" applyFill="1" applyAlignment="1">
      <alignment/>
    </xf>
    <xf numFmtId="0" fontId="0" fillId="7" borderId="11" xfId="0" applyFill="1" applyBorder="1" applyAlignment="1">
      <alignment/>
    </xf>
    <xf numFmtId="0" fontId="0" fillId="4" borderId="11" xfId="0" applyFill="1" applyBorder="1" applyAlignment="1">
      <alignment/>
    </xf>
    <xf numFmtId="0" fontId="0" fillId="25" borderId="11" xfId="0" applyFill="1" applyBorder="1" applyAlignment="1">
      <alignment/>
    </xf>
    <xf numFmtId="0" fontId="0" fillId="7" borderId="20" xfId="0" applyFill="1" applyBorder="1" applyAlignment="1">
      <alignment/>
    </xf>
    <xf numFmtId="0" fontId="0" fillId="4" borderId="20" xfId="0" applyFill="1" applyBorder="1" applyAlignment="1">
      <alignment/>
    </xf>
    <xf numFmtId="0" fontId="0" fillId="25" borderId="20" xfId="0" applyFill="1" applyBorder="1" applyAlignment="1">
      <alignment/>
    </xf>
    <xf numFmtId="0" fontId="2" fillId="7" borderId="21" xfId="0" applyFont="1" applyFill="1" applyBorder="1" applyAlignment="1">
      <alignment/>
    </xf>
    <xf numFmtId="0" fontId="0" fillId="7" borderId="21" xfId="0" applyFill="1" applyBorder="1" applyAlignment="1">
      <alignment/>
    </xf>
    <xf numFmtId="0" fontId="2" fillId="4" borderId="21" xfId="0" applyFont="1" applyFill="1" applyBorder="1" applyAlignment="1">
      <alignment/>
    </xf>
    <xf numFmtId="0" fontId="0" fillId="4" borderId="21" xfId="0" applyFill="1" applyBorder="1" applyAlignment="1">
      <alignment/>
    </xf>
    <xf numFmtId="0" fontId="2" fillId="25" borderId="21" xfId="0" applyFont="1" applyFill="1" applyBorder="1" applyAlignment="1">
      <alignment/>
    </xf>
    <xf numFmtId="0" fontId="0" fillId="25" borderId="21" xfId="0" applyFill="1" applyBorder="1" applyAlignment="1">
      <alignment/>
    </xf>
    <xf numFmtId="9" fontId="0" fillId="0" borderId="0" xfId="59" applyFont="1" applyAlignment="1">
      <alignment/>
    </xf>
    <xf numFmtId="0" fontId="2" fillId="24" borderId="0" xfId="0" applyFont="1" applyFill="1" applyAlignment="1">
      <alignment/>
    </xf>
    <xf numFmtId="9" fontId="2" fillId="24" borderId="0" xfId="0" applyNumberFormat="1" applyFont="1" applyFill="1" applyAlignment="1">
      <alignment/>
    </xf>
    <xf numFmtId="10" fontId="2" fillId="24" borderId="0" xfId="0" applyNumberFormat="1" applyFont="1" applyFill="1" applyAlignment="1">
      <alignment/>
    </xf>
    <xf numFmtId="9" fontId="2" fillId="24" borderId="0" xfId="59" applyFont="1" applyFill="1" applyAlignment="1">
      <alignment/>
    </xf>
    <xf numFmtId="10" fontId="2" fillId="0" borderId="0" xfId="0" applyNumberFormat="1" applyFont="1" applyAlignment="1">
      <alignment/>
    </xf>
    <xf numFmtId="9" fontId="0" fillId="24" borderId="0" xfId="59" applyFont="1" applyFill="1" applyAlignment="1">
      <alignment/>
    </xf>
    <xf numFmtId="0" fontId="0" fillId="7" borderId="11" xfId="0" applyFill="1" applyBorder="1" applyAlignment="1">
      <alignment horizontal="center"/>
    </xf>
    <xf numFmtId="0" fontId="0" fillId="4" borderId="11" xfId="0" applyFill="1" applyBorder="1" applyAlignment="1">
      <alignment horizontal="center"/>
    </xf>
    <xf numFmtId="0" fontId="0" fillId="25" borderId="11" xfId="0" applyFill="1" applyBorder="1" applyAlignment="1">
      <alignment horizontal="center"/>
    </xf>
    <xf numFmtId="164" fontId="0" fillId="7" borderId="11" xfId="0" applyNumberFormat="1" applyFill="1" applyBorder="1" applyAlignment="1">
      <alignment horizontal="center"/>
    </xf>
    <xf numFmtId="9" fontId="2" fillId="0" borderId="0" xfId="59" applyFont="1" applyFill="1" applyAlignment="1">
      <alignment/>
    </xf>
    <xf numFmtId="165" fontId="0" fillId="0" borderId="0" xfId="59" applyNumberFormat="1" applyFont="1" applyAlignment="1">
      <alignment/>
    </xf>
    <xf numFmtId="164" fontId="2" fillId="24" borderId="0" xfId="0" applyNumberFormat="1" applyFont="1" applyFill="1" applyAlignment="1">
      <alignment/>
    </xf>
    <xf numFmtId="0" fontId="16" fillId="0" borderId="0" xfId="0" applyFont="1" applyFill="1" applyAlignment="1">
      <alignment/>
    </xf>
    <xf numFmtId="164" fontId="2" fillId="0" borderId="0" xfId="0" applyNumberFormat="1" applyFont="1" applyFill="1" applyAlignment="1">
      <alignment/>
    </xf>
    <xf numFmtId="0" fontId="19" fillId="0" borderId="0" xfId="0" applyFont="1" applyFill="1" applyAlignment="1">
      <alignment/>
    </xf>
    <xf numFmtId="0" fontId="2" fillId="0" borderId="0" xfId="0" applyFont="1" applyAlignment="1">
      <alignment wrapText="1"/>
    </xf>
    <xf numFmtId="10" fontId="0" fillId="0" borderId="0" xfId="0" applyNumberFormat="1" applyAlignment="1">
      <alignment/>
    </xf>
    <xf numFmtId="0" fontId="0" fillId="0" borderId="0" xfId="0" applyNumberFormat="1" applyAlignment="1">
      <alignment/>
    </xf>
    <xf numFmtId="0" fontId="0" fillId="24" borderId="0" xfId="0" applyFill="1" applyAlignment="1">
      <alignment horizontal="center"/>
    </xf>
    <xf numFmtId="0" fontId="17" fillId="0" borderId="0" xfId="0" applyFont="1" applyAlignment="1">
      <alignment horizontal="right"/>
    </xf>
    <xf numFmtId="0" fontId="2" fillId="0" borderId="0" xfId="0" applyFont="1" applyFill="1" applyAlignment="1">
      <alignment/>
    </xf>
    <xf numFmtId="2" fontId="0" fillId="0" borderId="0" xfId="0" applyNumberFormat="1" applyFill="1" applyAlignment="1">
      <alignment/>
    </xf>
    <xf numFmtId="200" fontId="0" fillId="0" borderId="0" xfId="0" applyNumberFormat="1" applyFill="1" applyAlignment="1">
      <alignment/>
    </xf>
    <xf numFmtId="1" fontId="4" fillId="0" borderId="0" xfId="0" applyNumberFormat="1" applyFont="1" applyAlignment="1">
      <alignment/>
    </xf>
    <xf numFmtId="1" fontId="4" fillId="0" borderId="0" xfId="0" applyNumberFormat="1" applyFont="1" applyFill="1" applyAlignment="1">
      <alignment/>
    </xf>
    <xf numFmtId="165" fontId="20" fillId="0" borderId="0" xfId="42" applyNumberFormat="1" applyFont="1" applyAlignment="1">
      <alignment/>
    </xf>
    <xf numFmtId="165" fontId="21" fillId="0" borderId="0" xfId="42" applyNumberFormat="1" applyFont="1" applyAlignment="1">
      <alignment/>
    </xf>
    <xf numFmtId="165" fontId="20" fillId="0" borderId="0" xfId="42" applyNumberFormat="1" applyFont="1" applyAlignment="1">
      <alignment horizontal="left" indent="2"/>
    </xf>
    <xf numFmtId="165" fontId="23" fillId="0" borderId="0" xfId="42" applyNumberFormat="1" applyFont="1" applyAlignment="1">
      <alignment/>
    </xf>
    <xf numFmtId="165" fontId="20" fillId="0" borderId="0" xfId="42" applyNumberFormat="1" applyFont="1" applyAlignment="1">
      <alignment vertical="center"/>
    </xf>
    <xf numFmtId="165" fontId="20" fillId="24" borderId="0" xfId="42" applyNumberFormat="1" applyFont="1" applyFill="1" applyAlignment="1">
      <alignment vertical="center"/>
    </xf>
    <xf numFmtId="165" fontId="20" fillId="0" borderId="0" xfId="42" applyNumberFormat="1" applyFont="1" applyFill="1" applyAlignment="1">
      <alignment vertical="center"/>
    </xf>
    <xf numFmtId="165" fontId="23" fillId="0" borderId="0" xfId="42" applyNumberFormat="1" applyFont="1" applyAlignment="1">
      <alignment horizontal="left" indent="1"/>
    </xf>
    <xf numFmtId="165" fontId="20" fillId="0" borderId="17" xfId="42" applyNumberFormat="1" applyFont="1" applyBorder="1" applyAlignment="1">
      <alignment/>
    </xf>
    <xf numFmtId="165" fontId="20" fillId="0" borderId="17" xfId="42" applyNumberFormat="1" applyFont="1" applyBorder="1" applyAlignment="1">
      <alignment horizontal="center"/>
    </xf>
    <xf numFmtId="165" fontId="20" fillId="0" borderId="0" xfId="42" applyNumberFormat="1" applyFont="1" applyFill="1" applyAlignment="1">
      <alignment/>
    </xf>
    <xf numFmtId="193" fontId="0" fillId="24" borderId="0" xfId="0" applyNumberFormat="1" applyFill="1" applyAlignment="1">
      <alignment/>
    </xf>
    <xf numFmtId="201" fontId="20" fillId="0" borderId="0" xfId="42" applyNumberFormat="1" applyFont="1" applyAlignment="1">
      <alignment/>
    </xf>
    <xf numFmtId="165" fontId="20" fillId="0" borderId="0" xfId="42" applyNumberFormat="1" applyFont="1" applyAlignment="1">
      <alignment horizontal="left" indent="3"/>
    </xf>
    <xf numFmtId="165" fontId="20" fillId="0" borderId="0" xfId="42" applyNumberFormat="1" applyFont="1" applyAlignment="1">
      <alignment horizontal="center"/>
    </xf>
    <xf numFmtId="165" fontId="20" fillId="0" borderId="0" xfId="42" applyNumberFormat="1" applyFont="1" applyFill="1" applyAlignment="1">
      <alignment horizontal="left" indent="3"/>
    </xf>
    <xf numFmtId="165" fontId="20" fillId="0" borderId="17" xfId="42" applyNumberFormat="1" applyFont="1" applyFill="1" applyBorder="1" applyAlignment="1">
      <alignment horizontal="center"/>
    </xf>
    <xf numFmtId="165" fontId="20" fillId="0" borderId="0" xfId="42" applyNumberFormat="1" applyFont="1" applyFill="1" applyBorder="1" applyAlignment="1">
      <alignment/>
    </xf>
    <xf numFmtId="10" fontId="20" fillId="0" borderId="0" xfId="59" applyNumberFormat="1" applyFont="1" applyFill="1" applyAlignment="1">
      <alignment/>
    </xf>
    <xf numFmtId="164" fontId="20" fillId="0" borderId="0" xfId="59" applyNumberFormat="1" applyFont="1" applyFill="1" applyBorder="1" applyAlignment="1">
      <alignment/>
    </xf>
    <xf numFmtId="10" fontId="20" fillId="0" borderId="0" xfId="59" applyNumberFormat="1" applyFont="1" applyAlignment="1">
      <alignment/>
    </xf>
    <xf numFmtId="165" fontId="25" fillId="0" borderId="0" xfId="42" applyNumberFormat="1" applyFont="1" applyAlignment="1">
      <alignment/>
    </xf>
    <xf numFmtId="165" fontId="23" fillId="0" borderId="0" xfId="42" applyNumberFormat="1" applyFont="1" applyAlignment="1">
      <alignment horizontal="left" indent="2"/>
    </xf>
    <xf numFmtId="164" fontId="20" fillId="0" borderId="0" xfId="59" applyNumberFormat="1" applyFont="1" applyFill="1" applyAlignment="1">
      <alignment/>
    </xf>
    <xf numFmtId="9" fontId="20" fillId="0" borderId="0" xfId="59" applyFont="1" applyAlignment="1">
      <alignment horizontal="center"/>
    </xf>
    <xf numFmtId="167" fontId="20" fillId="0" borderId="17" xfId="42" applyNumberFormat="1" applyFont="1" applyBorder="1" applyAlignment="1">
      <alignment/>
    </xf>
    <xf numFmtId="201" fontId="20" fillId="0" borderId="0" xfId="42" applyNumberFormat="1" applyFont="1" applyFill="1" applyAlignment="1">
      <alignment/>
    </xf>
    <xf numFmtId="165" fontId="20" fillId="0" borderId="17" xfId="42" applyNumberFormat="1" applyFont="1" applyFill="1" applyBorder="1" applyAlignment="1">
      <alignment/>
    </xf>
    <xf numFmtId="165" fontId="20" fillId="0" borderId="0" xfId="42" applyNumberFormat="1" applyFont="1" applyAlignment="1">
      <alignment horizontal="right"/>
    </xf>
    <xf numFmtId="165" fontId="26" fillId="0" borderId="0" xfId="42" applyNumberFormat="1" applyFont="1" applyAlignment="1">
      <alignment/>
    </xf>
    <xf numFmtId="165" fontId="27" fillId="0" borderId="0" xfId="42" applyNumberFormat="1" applyFont="1" applyAlignment="1">
      <alignment/>
    </xf>
    <xf numFmtId="165" fontId="20" fillId="0" borderId="0" xfId="42" applyNumberFormat="1" applyFont="1" applyBorder="1" applyAlignment="1">
      <alignment/>
    </xf>
    <xf numFmtId="165" fontId="20" fillId="0" borderId="0" xfId="42" applyNumberFormat="1" applyFont="1" applyFill="1" applyAlignment="1">
      <alignment horizontal="left" indent="1"/>
    </xf>
    <xf numFmtId="9" fontId="20" fillId="0" borderId="0" xfId="59" applyFont="1" applyFill="1" applyAlignment="1">
      <alignment/>
    </xf>
    <xf numFmtId="9" fontId="22" fillId="0" borderId="0" xfId="59" applyFont="1" applyFill="1" applyAlignment="1">
      <alignment/>
    </xf>
    <xf numFmtId="165" fontId="27" fillId="0" borderId="0" xfId="42" applyNumberFormat="1" applyFont="1" applyFill="1" applyAlignment="1">
      <alignment/>
    </xf>
    <xf numFmtId="165" fontId="22" fillId="0" borderId="0" xfId="42" applyNumberFormat="1" applyFont="1" applyFill="1" applyAlignment="1">
      <alignment/>
    </xf>
    <xf numFmtId="9" fontId="20" fillId="0" borderId="0" xfId="59" applyFont="1" applyFill="1" applyAlignment="1">
      <alignment horizontal="center"/>
    </xf>
    <xf numFmtId="165" fontId="29" fillId="0" borderId="0" xfId="42" applyNumberFormat="1" applyFont="1" applyAlignment="1">
      <alignment/>
    </xf>
    <xf numFmtId="165" fontId="30" fillId="0" borderId="0" xfId="42" applyNumberFormat="1" applyFont="1" applyAlignment="1">
      <alignment/>
    </xf>
    <xf numFmtId="10" fontId="0" fillId="0" borderId="0" xfId="0" applyNumberFormat="1" applyFill="1" applyAlignment="1">
      <alignment/>
    </xf>
    <xf numFmtId="164" fontId="0" fillId="26" borderId="0" xfId="0" applyNumberFormat="1" applyFill="1" applyAlignment="1">
      <alignment/>
    </xf>
    <xf numFmtId="0" fontId="0" fillId="26" borderId="0" xfId="0" applyFill="1" applyAlignment="1">
      <alignment/>
    </xf>
    <xf numFmtId="0" fontId="0" fillId="0" borderId="0" xfId="0" applyFill="1" applyAlignment="1">
      <alignment/>
    </xf>
    <xf numFmtId="164" fontId="4" fillId="11" borderId="0" xfId="0" applyNumberFormat="1" applyFont="1" applyFill="1" applyAlignment="1">
      <alignment/>
    </xf>
    <xf numFmtId="0" fontId="2" fillId="4" borderId="0" xfId="0" applyFont="1" applyFill="1" applyAlignment="1">
      <alignment/>
    </xf>
    <xf numFmtId="164" fontId="0" fillId="0" borderId="0" xfId="59" applyNumberFormat="1" applyFont="1" applyAlignment="1">
      <alignment/>
    </xf>
    <xf numFmtId="0" fontId="0" fillId="0" borderId="0" xfId="0" applyFill="1" applyBorder="1" applyAlignment="1">
      <alignment horizontal="left"/>
    </xf>
    <xf numFmtId="165" fontId="31" fillId="0" borderId="0" xfId="42" applyNumberFormat="1" applyFont="1" applyFill="1" applyAlignment="1">
      <alignment/>
    </xf>
    <xf numFmtId="165" fontId="32" fillId="0" borderId="0" xfId="42" applyNumberFormat="1" applyFont="1" applyFill="1" applyAlignment="1">
      <alignment/>
    </xf>
    <xf numFmtId="165" fontId="6" fillId="0" borderId="0" xfId="42" applyNumberFormat="1" applyFont="1" applyAlignment="1">
      <alignment/>
    </xf>
    <xf numFmtId="165" fontId="5" fillId="0" borderId="0" xfId="42" applyNumberFormat="1" applyFont="1" applyAlignment="1">
      <alignment/>
    </xf>
    <xf numFmtId="165" fontId="33" fillId="14" borderId="22" xfId="42" applyNumberFormat="1" applyFont="1" applyFill="1" applyBorder="1" applyAlignment="1">
      <alignment/>
    </xf>
    <xf numFmtId="165" fontId="33" fillId="14" borderId="23" xfId="42" applyNumberFormat="1" applyFont="1" applyFill="1" applyBorder="1" applyAlignment="1">
      <alignment/>
    </xf>
    <xf numFmtId="165" fontId="6" fillId="0" borderId="24" xfId="42" applyNumberFormat="1" applyFont="1" applyFill="1" applyBorder="1" applyAlignment="1">
      <alignment/>
    </xf>
    <xf numFmtId="165" fontId="6" fillId="0" borderId="25" xfId="42" applyNumberFormat="1" applyFont="1" applyFill="1" applyBorder="1" applyAlignment="1">
      <alignment/>
    </xf>
    <xf numFmtId="165" fontId="6" fillId="0" borderId="26" xfId="42" applyNumberFormat="1" applyFont="1" applyBorder="1" applyAlignment="1">
      <alignment/>
    </xf>
    <xf numFmtId="165" fontId="5" fillId="0" borderId="0" xfId="42" applyNumberFormat="1" applyFont="1" applyFill="1" applyAlignment="1">
      <alignment/>
    </xf>
    <xf numFmtId="165" fontId="6" fillId="0" borderId="27" xfId="42" applyNumberFormat="1" applyFont="1" applyBorder="1" applyAlignment="1">
      <alignment/>
    </xf>
    <xf numFmtId="165" fontId="6" fillId="0" borderId="0" xfId="42" applyNumberFormat="1" applyFont="1" applyBorder="1" applyAlignment="1">
      <alignment/>
    </xf>
    <xf numFmtId="165" fontId="5" fillId="0" borderId="0" xfId="42" applyNumberFormat="1" applyFont="1" applyBorder="1" applyAlignment="1">
      <alignment/>
    </xf>
    <xf numFmtId="3" fontId="6" fillId="0" borderId="25" xfId="42" applyNumberFormat="1" applyFont="1" applyFill="1" applyBorder="1" applyAlignment="1">
      <alignment/>
    </xf>
    <xf numFmtId="204" fontId="5" fillId="0" borderId="0" xfId="44" applyNumberFormat="1" applyFont="1" applyBorder="1" applyAlignment="1">
      <alignment/>
    </xf>
    <xf numFmtId="165" fontId="5" fillId="0" borderId="0" xfId="42" applyNumberFormat="1" applyFont="1" applyFill="1" applyBorder="1" applyAlignment="1">
      <alignment/>
    </xf>
    <xf numFmtId="165" fontId="33" fillId="14" borderId="14" xfId="42" applyNumberFormat="1" applyFont="1" applyFill="1" applyBorder="1" applyAlignment="1">
      <alignment/>
    </xf>
    <xf numFmtId="165" fontId="33" fillId="14" borderId="13" xfId="42" applyNumberFormat="1" applyFont="1" applyFill="1" applyBorder="1" applyAlignment="1">
      <alignment/>
    </xf>
    <xf numFmtId="165" fontId="0" fillId="0" borderId="19" xfId="42" applyNumberFormat="1" applyFont="1" applyBorder="1" applyAlignment="1">
      <alignment/>
    </xf>
    <xf numFmtId="165" fontId="34" fillId="0" borderId="18" xfId="42" applyNumberFormat="1" applyFont="1" applyBorder="1" applyAlignment="1">
      <alignment/>
    </xf>
    <xf numFmtId="165" fontId="0" fillId="0" borderId="0" xfId="42" applyNumberFormat="1" applyFont="1" applyFill="1" applyBorder="1" applyAlignment="1">
      <alignment/>
    </xf>
    <xf numFmtId="165" fontId="34" fillId="0" borderId="0" xfId="42" applyNumberFormat="1" applyFont="1" applyBorder="1" applyAlignment="1">
      <alignment/>
    </xf>
    <xf numFmtId="165" fontId="35" fillId="0" borderId="0" xfId="42" applyNumberFormat="1" applyFont="1" applyFill="1" applyBorder="1" applyAlignment="1">
      <alignment/>
    </xf>
    <xf numFmtId="165" fontId="5" fillId="0" borderId="19" xfId="42" applyNumberFormat="1" applyFont="1" applyBorder="1" applyAlignment="1">
      <alignment/>
    </xf>
    <xf numFmtId="165" fontId="5" fillId="0" borderId="16" xfId="42" applyNumberFormat="1" applyFont="1" applyBorder="1" applyAlignment="1">
      <alignment/>
    </xf>
    <xf numFmtId="165" fontId="36" fillId="0" borderId="15" xfId="42" applyNumberFormat="1" applyFont="1" applyBorder="1" applyAlignment="1">
      <alignment/>
    </xf>
    <xf numFmtId="10" fontId="36" fillId="0" borderId="18" xfId="42" applyNumberFormat="1" applyFont="1" applyBorder="1" applyAlignment="1">
      <alignment/>
    </xf>
    <xf numFmtId="3" fontId="6" fillId="0" borderId="27" xfId="42" applyNumberFormat="1" applyFont="1" applyBorder="1" applyAlignment="1">
      <alignment/>
    </xf>
    <xf numFmtId="165" fontId="34" fillId="0" borderId="0" xfId="42" applyNumberFormat="1" applyFont="1" applyFill="1" applyBorder="1" applyAlignment="1">
      <alignment/>
    </xf>
    <xf numFmtId="10" fontId="0" fillId="0" borderId="0" xfId="42" applyNumberFormat="1" applyFont="1" applyBorder="1" applyAlignment="1">
      <alignment/>
    </xf>
    <xf numFmtId="165" fontId="33" fillId="14" borderId="28" xfId="42" applyNumberFormat="1" applyFont="1" applyFill="1" applyBorder="1" applyAlignment="1">
      <alignment/>
    </xf>
    <xf numFmtId="0" fontId="39" fillId="0" borderId="16" xfId="0" applyFont="1" applyFill="1" applyBorder="1" applyAlignment="1">
      <alignment horizontal="center"/>
    </xf>
    <xf numFmtId="0" fontId="39" fillId="0" borderId="0" xfId="0" applyFont="1" applyFill="1" applyBorder="1" applyAlignment="1">
      <alignment horizontal="center"/>
    </xf>
    <xf numFmtId="3" fontId="39" fillId="0" borderId="0" xfId="0" applyNumberFormat="1" applyFont="1" applyFill="1" applyBorder="1" applyAlignment="1">
      <alignment horizontal="center"/>
    </xf>
    <xf numFmtId="4" fontId="39" fillId="0" borderId="0" xfId="0" applyNumberFormat="1" applyFont="1" applyFill="1" applyBorder="1" applyAlignment="1">
      <alignment horizontal="center"/>
    </xf>
    <xf numFmtId="4" fontId="39" fillId="0" borderId="15" xfId="0" applyNumberFormat="1" applyFont="1" applyFill="1" applyBorder="1" applyAlignment="1">
      <alignment horizontal="center"/>
    </xf>
    <xf numFmtId="0" fontId="0" fillId="0" borderId="16" xfId="0"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4" fontId="0" fillId="0" borderId="0" xfId="0" applyNumberFormat="1" applyFill="1" applyBorder="1" applyAlignment="1">
      <alignment/>
    </xf>
    <xf numFmtId="4" fontId="0" fillId="0" borderId="15" xfId="0" applyNumberFormat="1" applyBorder="1" applyAlignment="1">
      <alignment/>
    </xf>
    <xf numFmtId="0" fontId="0" fillId="0" borderId="19" xfId="0" applyFill="1" applyBorder="1" applyAlignment="1">
      <alignment/>
    </xf>
    <xf numFmtId="0" fontId="0" fillId="0" borderId="17" xfId="0" applyFill="1" applyBorder="1" applyAlignment="1">
      <alignment/>
    </xf>
    <xf numFmtId="3" fontId="0" fillId="0" borderId="17" xfId="0" applyNumberFormat="1" applyFill="1" applyBorder="1" applyAlignment="1">
      <alignment/>
    </xf>
    <xf numFmtId="4" fontId="0" fillId="0" borderId="17" xfId="0" applyNumberFormat="1" applyFill="1" applyBorder="1" applyAlignment="1">
      <alignment/>
    </xf>
    <xf numFmtId="4" fontId="0" fillId="0" borderId="18" xfId="0" applyNumberFormat="1" applyFill="1" applyBorder="1" applyAlignment="1">
      <alignment/>
    </xf>
    <xf numFmtId="165" fontId="9" fillId="0" borderId="16" xfId="42" applyNumberFormat="1" applyFont="1" applyBorder="1" applyAlignment="1">
      <alignment/>
    </xf>
    <xf numFmtId="206" fontId="36" fillId="0" borderId="15" xfId="42" applyNumberFormat="1" applyFont="1" applyBorder="1" applyAlignment="1">
      <alignment/>
    </xf>
    <xf numFmtId="207" fontId="36" fillId="0" borderId="18" xfId="42" applyNumberFormat="1" applyFont="1" applyBorder="1" applyAlignment="1">
      <alignment/>
    </xf>
    <xf numFmtId="172" fontId="0" fillId="0" borderId="0" xfId="42" applyNumberFormat="1" applyFont="1" applyBorder="1" applyAlignment="1">
      <alignment/>
    </xf>
    <xf numFmtId="165" fontId="33" fillId="0" borderId="28" xfId="42" applyNumberFormat="1" applyFont="1" applyFill="1" applyBorder="1" applyAlignment="1">
      <alignment/>
    </xf>
    <xf numFmtId="165" fontId="0" fillId="0" borderId="28" xfId="42" applyNumberFormat="1" applyFont="1" applyFill="1" applyBorder="1" applyAlignment="1">
      <alignment/>
    </xf>
    <xf numFmtId="165" fontId="0" fillId="0" borderId="0" xfId="42" applyNumberFormat="1" applyFont="1" applyFill="1" applyAlignment="1">
      <alignment/>
    </xf>
    <xf numFmtId="175" fontId="0" fillId="0" borderId="0" xfId="59" applyNumberFormat="1" applyFont="1" applyAlignment="1">
      <alignment/>
    </xf>
    <xf numFmtId="190" fontId="0" fillId="0" borderId="0" xfId="59" applyNumberFormat="1" applyFont="1" applyAlignment="1">
      <alignment/>
    </xf>
    <xf numFmtId="190" fontId="0" fillId="0" borderId="0" xfId="0" applyNumberFormat="1" applyAlignment="1">
      <alignment/>
    </xf>
    <xf numFmtId="0" fontId="42" fillId="23" borderId="29" xfId="0" applyFont="1" applyFill="1" applyBorder="1" applyAlignment="1">
      <alignment horizontal="center" wrapText="1"/>
    </xf>
    <xf numFmtId="0" fontId="41" fillId="23" borderId="29" xfId="0" applyFont="1" applyFill="1" applyBorder="1" applyAlignment="1">
      <alignment wrapText="1"/>
    </xf>
    <xf numFmtId="0" fontId="41" fillId="0" borderId="0" xfId="0" applyFont="1" applyFill="1" applyBorder="1" applyAlignment="1">
      <alignment/>
    </xf>
    <xf numFmtId="0" fontId="42" fillId="0" borderId="0" xfId="0" applyFont="1" applyFill="1" applyBorder="1" applyAlignment="1">
      <alignment wrapText="1"/>
    </xf>
    <xf numFmtId="209" fontId="0" fillId="0" borderId="0" xfId="0" applyNumberFormat="1" applyAlignment="1">
      <alignment/>
    </xf>
    <xf numFmtId="10" fontId="0" fillId="0" borderId="0" xfId="59" applyNumberFormat="1" applyFont="1" applyAlignment="1">
      <alignment/>
    </xf>
    <xf numFmtId="9" fontId="0" fillId="0" borderId="0" xfId="0" applyNumberFormat="1" applyFont="1" applyAlignment="1">
      <alignment/>
    </xf>
    <xf numFmtId="175" fontId="0" fillId="0" borderId="0" xfId="0" applyNumberFormat="1" applyAlignment="1">
      <alignment/>
    </xf>
    <xf numFmtId="175" fontId="2" fillId="0" borderId="0" xfId="0" applyNumberFormat="1" applyFont="1" applyAlignment="1">
      <alignment/>
    </xf>
    <xf numFmtId="0" fontId="39" fillId="0" borderId="0" xfId="0" applyFont="1" applyAlignment="1">
      <alignment/>
    </xf>
    <xf numFmtId="0" fontId="14" fillId="0" borderId="0" xfId="0" applyFont="1" applyFill="1" applyAlignment="1">
      <alignment/>
    </xf>
    <xf numFmtId="165" fontId="5" fillId="3" borderId="0" xfId="42" applyNumberFormat="1" applyFont="1" applyFill="1" applyAlignment="1">
      <alignment/>
    </xf>
    <xf numFmtId="165" fontId="0" fillId="3" borderId="0" xfId="42" applyNumberFormat="1" applyFont="1" applyFill="1" applyAlignment="1">
      <alignment/>
    </xf>
    <xf numFmtId="43" fontId="0" fillId="3" borderId="0" xfId="42" applyNumberFormat="1" applyFont="1" applyFill="1" applyBorder="1" applyAlignment="1">
      <alignment/>
    </xf>
    <xf numFmtId="3" fontId="6" fillId="0" borderId="0" xfId="42" applyNumberFormat="1" applyFont="1" applyFill="1" applyBorder="1" applyAlignment="1">
      <alignment/>
    </xf>
    <xf numFmtId="0" fontId="0" fillId="4" borderId="0" xfId="0" applyFill="1" applyAlignment="1">
      <alignment/>
    </xf>
    <xf numFmtId="10" fontId="2" fillId="24" borderId="0" xfId="59" applyNumberFormat="1" applyFont="1" applyFill="1" applyAlignment="1">
      <alignment/>
    </xf>
    <xf numFmtId="165" fontId="0" fillId="0" borderId="0" xfId="0" applyNumberFormat="1" applyFill="1" applyAlignment="1">
      <alignment/>
    </xf>
    <xf numFmtId="3" fontId="5" fillId="0" borderId="0" xfId="42" applyNumberFormat="1" applyFont="1" applyFill="1" applyBorder="1" applyAlignment="1">
      <alignment/>
    </xf>
    <xf numFmtId="165" fontId="50" fillId="0" borderId="0" xfId="42" applyNumberFormat="1" applyFont="1" applyFill="1" applyAlignment="1">
      <alignment/>
    </xf>
    <xf numFmtId="190" fontId="2" fillId="0" borderId="0" xfId="59" applyNumberFormat="1" applyFont="1" applyFill="1" applyAlignment="1">
      <alignment/>
    </xf>
    <xf numFmtId="165" fontId="5" fillId="0" borderId="0" xfId="42" applyNumberFormat="1" applyFont="1" applyFill="1" applyAlignment="1" quotePrefix="1">
      <alignment/>
    </xf>
    <xf numFmtId="165" fontId="34" fillId="0" borderId="18" xfId="42" applyNumberFormat="1" applyFont="1" applyFill="1" applyBorder="1" applyAlignment="1">
      <alignment/>
    </xf>
    <xf numFmtId="165" fontId="36" fillId="0" borderId="15" xfId="42" applyNumberFormat="1" applyFont="1" applyFill="1" applyBorder="1" applyAlignment="1">
      <alignment/>
    </xf>
    <xf numFmtId="207" fontId="40" fillId="24" borderId="15" xfId="42" applyNumberFormat="1" applyFont="1" applyFill="1" applyBorder="1" applyAlignment="1">
      <alignment/>
    </xf>
    <xf numFmtId="165" fontId="33" fillId="14" borderId="0" xfId="42" applyNumberFormat="1" applyFont="1" applyFill="1" applyAlignment="1">
      <alignment/>
    </xf>
    <xf numFmtId="0" fontId="51" fillId="14" borderId="0" xfId="0" applyFont="1" applyFill="1" applyAlignment="1">
      <alignment/>
    </xf>
    <xf numFmtId="165" fontId="33" fillId="14" borderId="0" xfId="42" applyNumberFormat="1" applyFont="1" applyFill="1" applyAlignment="1">
      <alignment/>
    </xf>
    <xf numFmtId="165" fontId="5" fillId="0" borderId="0" xfId="42" applyNumberFormat="1" applyFont="1" applyFill="1" applyAlignment="1">
      <alignment horizontal="right"/>
    </xf>
    <xf numFmtId="165" fontId="52" fillId="0" borderId="0" xfId="42" applyNumberFormat="1" applyFont="1" applyFill="1" applyAlignment="1">
      <alignment/>
    </xf>
    <xf numFmtId="165" fontId="6" fillId="0" borderId="28" xfId="42" applyNumberFormat="1" applyFont="1" applyFill="1" applyBorder="1" applyAlignment="1">
      <alignment/>
    </xf>
    <xf numFmtId="165" fontId="31" fillId="5" borderId="0" xfId="42" applyNumberFormat="1" applyFont="1" applyFill="1" applyAlignment="1">
      <alignment/>
    </xf>
    <xf numFmtId="0" fontId="53" fillId="5" borderId="0" xfId="0" applyFont="1" applyFill="1" applyAlignment="1">
      <alignment/>
    </xf>
    <xf numFmtId="10" fontId="0" fillId="4" borderId="0" xfId="0" applyNumberFormat="1" applyFill="1" applyAlignment="1">
      <alignment/>
    </xf>
    <xf numFmtId="10" fontId="2" fillId="4" borderId="0" xfId="0" applyNumberFormat="1" applyFont="1" applyFill="1" applyAlignment="1">
      <alignment/>
    </xf>
    <xf numFmtId="0" fontId="44" fillId="24" borderId="0" xfId="0" applyFont="1" applyFill="1" applyAlignment="1">
      <alignment/>
    </xf>
    <xf numFmtId="0" fontId="0" fillId="0" borderId="0" xfId="0" applyFill="1" applyAlignment="1">
      <alignment horizontal="center" vertical="top" wrapText="1"/>
    </xf>
    <xf numFmtId="0" fontId="0" fillId="0" borderId="0" xfId="0" applyAlignment="1">
      <alignment horizontal="left"/>
    </xf>
    <xf numFmtId="190" fontId="0" fillId="0" borderId="0" xfId="59" applyNumberFormat="1" applyFont="1" applyFill="1" applyAlignment="1">
      <alignment/>
    </xf>
    <xf numFmtId="165" fontId="6" fillId="0" borderId="0" xfId="42" applyNumberFormat="1" applyFont="1" applyFill="1" applyAlignment="1">
      <alignment/>
    </xf>
    <xf numFmtId="10" fontId="2" fillId="0" borderId="0" xfId="59" applyNumberFormat="1" applyFont="1" applyFill="1" applyAlignment="1">
      <alignment/>
    </xf>
    <xf numFmtId="175" fontId="5" fillId="0" borderId="0" xfId="59" applyNumberFormat="1" applyFont="1" applyFill="1" applyAlignment="1">
      <alignment/>
    </xf>
    <xf numFmtId="0" fontId="0" fillId="0" borderId="0" xfId="0" applyFont="1" applyFill="1" applyAlignment="1">
      <alignment/>
    </xf>
    <xf numFmtId="10" fontId="6" fillId="0" borderId="0" xfId="59" applyNumberFormat="1" applyFont="1" applyFill="1" applyAlignment="1">
      <alignment/>
    </xf>
    <xf numFmtId="10" fontId="6" fillId="24" borderId="0" xfId="59" applyNumberFormat="1" applyFont="1" applyFill="1" applyAlignment="1">
      <alignment/>
    </xf>
    <xf numFmtId="10" fontId="6" fillId="0" borderId="0" xfId="59" applyNumberFormat="1" applyFont="1" applyFill="1" applyAlignment="1">
      <alignment/>
    </xf>
    <xf numFmtId="9" fontId="2" fillId="0" borderId="0" xfId="59" applyFont="1" applyFill="1" applyAlignment="1">
      <alignment/>
    </xf>
    <xf numFmtId="10" fontId="0" fillId="0" borderId="0" xfId="59" applyNumberFormat="1" applyFont="1" applyFill="1" applyAlignment="1">
      <alignment/>
    </xf>
    <xf numFmtId="0" fontId="0" fillId="0" borderId="11" xfId="0" applyFont="1" applyBorder="1" applyAlignment="1">
      <alignment/>
    </xf>
    <xf numFmtId="0" fontId="16" fillId="0" borderId="11" xfId="0" applyFont="1" applyBorder="1" applyAlignment="1">
      <alignment horizontal="right"/>
    </xf>
    <xf numFmtId="0" fontId="2" fillId="20" borderId="11" xfId="0" applyFont="1" applyFill="1" applyBorder="1" applyAlignment="1">
      <alignment horizontal="center"/>
    </xf>
    <xf numFmtId="1" fontId="2" fillId="0" borderId="11" xfId="0" applyNumberFormat="1" applyFont="1" applyBorder="1" applyAlignment="1">
      <alignment/>
    </xf>
    <xf numFmtId="164" fontId="2" fillId="0" borderId="11" xfId="0" applyNumberFormat="1" applyFont="1" applyBorder="1" applyAlignment="1">
      <alignment/>
    </xf>
    <xf numFmtId="1" fontId="2" fillId="0" borderId="11" xfId="0" applyNumberFormat="1" applyFont="1" applyFill="1" applyBorder="1" applyAlignment="1">
      <alignment/>
    </xf>
    <xf numFmtId="164" fontId="2" fillId="11" borderId="11" xfId="0" applyNumberFormat="1" applyFont="1" applyFill="1" applyBorder="1" applyAlignment="1">
      <alignment/>
    </xf>
    <xf numFmtId="0" fontId="2" fillId="0" borderId="11" xfId="0" applyFont="1" applyFill="1" applyBorder="1" applyAlignment="1">
      <alignment/>
    </xf>
    <xf numFmtId="9" fontId="2" fillId="0" borderId="11" xfId="0" applyNumberFormat="1" applyFont="1" applyFill="1" applyBorder="1" applyAlignment="1">
      <alignment/>
    </xf>
    <xf numFmtId="0" fontId="16" fillId="25" borderId="11" xfId="0" applyFont="1" applyFill="1" applyBorder="1" applyAlignment="1">
      <alignment/>
    </xf>
    <xf numFmtId="165" fontId="20" fillId="24" borderId="0" xfId="42" applyNumberFormat="1" applyFont="1" applyFill="1" applyAlignment="1">
      <alignment/>
    </xf>
    <xf numFmtId="165" fontId="24" fillId="0" borderId="0" xfId="42" applyNumberFormat="1" applyFont="1" applyFill="1" applyAlignment="1">
      <alignment/>
    </xf>
    <xf numFmtId="165" fontId="20" fillId="0" borderId="0" xfId="42" applyNumberFormat="1" applyFont="1" applyFill="1" applyAlignment="1">
      <alignment/>
    </xf>
    <xf numFmtId="172" fontId="20" fillId="0" borderId="0" xfId="42" applyNumberFormat="1" applyFont="1" applyFill="1" applyAlignment="1">
      <alignment/>
    </xf>
    <xf numFmtId="165" fontId="28" fillId="0" borderId="0" xfId="42" applyNumberFormat="1" applyFont="1" applyFill="1" applyAlignment="1">
      <alignment/>
    </xf>
    <xf numFmtId="167" fontId="20" fillId="0" borderId="0" xfId="42" applyNumberFormat="1" applyFont="1" applyFill="1" applyAlignment="1">
      <alignment/>
    </xf>
    <xf numFmtId="164" fontId="27" fillId="0" borderId="0" xfId="42" applyNumberFormat="1" applyFont="1" applyFill="1" applyAlignment="1">
      <alignment/>
    </xf>
    <xf numFmtId="165" fontId="23" fillId="0" borderId="0" xfId="42" applyNumberFormat="1" applyFont="1" applyFill="1" applyAlignment="1">
      <alignment/>
    </xf>
    <xf numFmtId="165" fontId="20" fillId="0" borderId="0" xfId="42" applyNumberFormat="1" applyFont="1" applyFill="1" applyAlignment="1">
      <alignment horizontal="left"/>
    </xf>
    <xf numFmtId="165" fontId="23" fillId="0" borderId="17" xfId="42" applyNumberFormat="1" applyFont="1" applyFill="1" applyBorder="1" applyAlignment="1">
      <alignment/>
    </xf>
    <xf numFmtId="165" fontId="26" fillId="0" borderId="17" xfId="42" applyNumberFormat="1" applyFont="1" applyFill="1" applyBorder="1" applyAlignment="1">
      <alignment horizontal="center"/>
    </xf>
    <xf numFmtId="165" fontId="26" fillId="0" borderId="0" xfId="42" applyNumberFormat="1" applyFont="1" applyFill="1" applyAlignment="1">
      <alignment/>
    </xf>
    <xf numFmtId="165" fontId="26" fillId="0" borderId="17" xfId="42" applyNumberFormat="1" applyFont="1" applyFill="1" applyBorder="1" applyAlignment="1">
      <alignment/>
    </xf>
    <xf numFmtId="165" fontId="23" fillId="0" borderId="17" xfId="42" applyNumberFormat="1" applyFont="1" applyFill="1" applyBorder="1" applyAlignment="1">
      <alignment horizontal="center"/>
    </xf>
    <xf numFmtId="165" fontId="20" fillId="0" borderId="0" xfId="42" applyNumberFormat="1" applyFont="1" applyFill="1" applyAlignment="1">
      <alignment horizontal="left" indent="2"/>
    </xf>
    <xf numFmtId="10" fontId="20" fillId="0" borderId="0" xfId="42" applyNumberFormat="1" applyFont="1" applyFill="1" applyAlignment="1">
      <alignment/>
    </xf>
    <xf numFmtId="10" fontId="22" fillId="0" borderId="0" xfId="42" applyNumberFormat="1" applyFont="1" applyFill="1" applyAlignment="1">
      <alignment/>
    </xf>
    <xf numFmtId="165" fontId="23" fillId="0" borderId="0" xfId="42" applyNumberFormat="1" applyFont="1" applyFill="1" applyAlignment="1">
      <alignment horizontal="left" indent="2"/>
    </xf>
    <xf numFmtId="43" fontId="20" fillId="0" borderId="0" xfId="42" applyNumberFormat="1" applyFont="1" applyFill="1" applyAlignment="1">
      <alignment/>
    </xf>
    <xf numFmtId="165" fontId="20" fillId="0" borderId="0" xfId="42" applyNumberFormat="1" applyFont="1" applyFill="1" applyAlignment="1">
      <alignment horizontal="left" indent="4"/>
    </xf>
    <xf numFmtId="165" fontId="23" fillId="0" borderId="0" xfId="42" applyNumberFormat="1" applyFont="1" applyFill="1" applyAlignment="1">
      <alignment horizontal="left" indent="5"/>
    </xf>
    <xf numFmtId="164" fontId="23" fillId="0" borderId="0" xfId="59" applyNumberFormat="1" applyFont="1" applyFill="1" applyAlignment="1">
      <alignment/>
    </xf>
    <xf numFmtId="165" fontId="20" fillId="0" borderId="0" xfId="42" applyNumberFormat="1" applyFont="1" applyFill="1" applyAlignment="1">
      <alignment horizontal="left" indent="5"/>
    </xf>
    <xf numFmtId="164" fontId="20" fillId="0" borderId="0" xfId="42" applyNumberFormat="1" applyFont="1" applyFill="1" applyAlignment="1">
      <alignment/>
    </xf>
    <xf numFmtId="165" fontId="25" fillId="0" borderId="0" xfId="42" applyNumberFormat="1" applyFont="1" applyFill="1" applyAlignment="1">
      <alignment horizontal="left" indent="2"/>
    </xf>
    <xf numFmtId="9" fontId="23" fillId="0" borderId="0" xfId="59" applyFont="1" applyFill="1" applyAlignment="1">
      <alignment/>
    </xf>
    <xf numFmtId="175" fontId="20" fillId="0" borderId="0" xfId="59" applyNumberFormat="1" applyFont="1" applyFill="1" applyAlignment="1">
      <alignment/>
    </xf>
    <xf numFmtId="175" fontId="20" fillId="0" borderId="17" xfId="59" applyNumberFormat="1" applyFont="1" applyFill="1" applyBorder="1" applyAlignment="1">
      <alignment/>
    </xf>
    <xf numFmtId="165" fontId="20" fillId="0" borderId="12" xfId="42" applyNumberFormat="1" applyFont="1" applyBorder="1" applyAlignment="1">
      <alignment/>
    </xf>
    <xf numFmtId="165" fontId="20" fillId="0" borderId="30" xfId="42" applyNumberFormat="1" applyFont="1" applyBorder="1" applyAlignment="1">
      <alignment wrapText="1"/>
    </xf>
    <xf numFmtId="165" fontId="20" fillId="0" borderId="30" xfId="42" applyNumberFormat="1" applyFont="1" applyBorder="1" applyAlignment="1">
      <alignment/>
    </xf>
    <xf numFmtId="165" fontId="20" fillId="0" borderId="30" xfId="42" applyNumberFormat="1" applyFont="1" applyFill="1" applyBorder="1" applyAlignment="1">
      <alignment wrapText="1"/>
    </xf>
    <xf numFmtId="165" fontId="20" fillId="0" borderId="30" xfId="42" applyNumberFormat="1" applyFont="1" applyBorder="1" applyAlignment="1">
      <alignment horizontal="left" wrapText="1"/>
    </xf>
    <xf numFmtId="165" fontId="24" fillId="0" borderId="30" xfId="42" applyNumberFormat="1" applyFont="1" applyBorder="1" applyAlignment="1">
      <alignment horizontal="left" wrapText="1"/>
    </xf>
    <xf numFmtId="165" fontId="20" fillId="0" borderId="31" xfId="42" applyNumberFormat="1" applyFont="1" applyBorder="1" applyAlignment="1">
      <alignment/>
    </xf>
    <xf numFmtId="165" fontId="20" fillId="0" borderId="16" xfId="42" applyNumberFormat="1" applyFont="1" applyBorder="1" applyAlignment="1">
      <alignment horizontal="left" indent="2"/>
    </xf>
    <xf numFmtId="43" fontId="20" fillId="0" borderId="0" xfId="42" applyNumberFormat="1" applyFont="1" applyBorder="1" applyAlignment="1">
      <alignment/>
    </xf>
    <xf numFmtId="167" fontId="20" fillId="0" borderId="0" xfId="42" applyNumberFormat="1" applyFont="1" applyBorder="1" applyAlignment="1">
      <alignment/>
    </xf>
    <xf numFmtId="10" fontId="24" fillId="0" borderId="0" xfId="42" applyNumberFormat="1" applyFont="1" applyBorder="1" applyAlignment="1">
      <alignment/>
    </xf>
    <xf numFmtId="165" fontId="20" fillId="0" borderId="15" xfId="42" applyNumberFormat="1" applyFont="1" applyFill="1" applyBorder="1" applyAlignment="1">
      <alignment/>
    </xf>
    <xf numFmtId="165" fontId="20" fillId="0" borderId="18" xfId="42" applyNumberFormat="1" applyFont="1" applyFill="1" applyBorder="1" applyAlignment="1">
      <alignment/>
    </xf>
    <xf numFmtId="165" fontId="26" fillId="0" borderId="0" xfId="42" applyNumberFormat="1" applyFont="1" applyBorder="1" applyAlignment="1">
      <alignment/>
    </xf>
    <xf numFmtId="165" fontId="30" fillId="0" borderId="0" xfId="42" applyNumberFormat="1" applyFont="1" applyBorder="1" applyAlignment="1">
      <alignment/>
    </xf>
    <xf numFmtId="165" fontId="20" fillId="0" borderId="19" xfId="42" applyNumberFormat="1" applyFont="1" applyBorder="1" applyAlignment="1">
      <alignment horizontal="left" indent="2"/>
    </xf>
    <xf numFmtId="164" fontId="20" fillId="0" borderId="17" xfId="59" applyNumberFormat="1" applyFont="1" applyFill="1" applyBorder="1" applyAlignment="1">
      <alignment/>
    </xf>
    <xf numFmtId="43" fontId="20" fillId="0" borderId="17" xfId="42" applyNumberFormat="1" applyFont="1" applyBorder="1" applyAlignment="1">
      <alignment/>
    </xf>
    <xf numFmtId="10" fontId="24" fillId="0" borderId="17" xfId="42" applyNumberFormat="1" applyFont="1" applyBorder="1" applyAlignment="1">
      <alignment/>
    </xf>
    <xf numFmtId="201" fontId="20" fillId="0" borderId="17" xfId="42" applyNumberFormat="1" applyFont="1" applyFill="1" applyBorder="1" applyAlignment="1">
      <alignment/>
    </xf>
    <xf numFmtId="0" fontId="2" fillId="0" borderId="0" xfId="0" applyFont="1" applyAlignment="1">
      <alignment horizontal="center"/>
    </xf>
    <xf numFmtId="0" fontId="0" fillId="20" borderId="0" xfId="0" applyFill="1" applyAlignment="1">
      <alignment horizontal="center"/>
    </xf>
    <xf numFmtId="1" fontId="2"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Boston 2020 GHG Savings By Primary Program Area</a:t>
            </a:r>
          </a:p>
        </c:rich>
      </c:tx>
      <c:layout>
        <c:manualLayout>
          <c:xMode val="factor"/>
          <c:yMode val="factor"/>
          <c:x val="-0.0265"/>
          <c:y val="0"/>
        </c:manualLayout>
      </c:layout>
      <c:spPr>
        <a:noFill/>
        <a:ln>
          <a:noFill/>
        </a:ln>
      </c:spPr>
    </c:title>
    <c:plotArea>
      <c:layout>
        <c:manualLayout>
          <c:xMode val="edge"/>
          <c:yMode val="edge"/>
          <c:x val="0.23825"/>
          <c:y val="0.261"/>
          <c:w val="0.34975"/>
          <c:h val="0.58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Charts!$A$12:$A$14</c:f>
              <c:strCache/>
            </c:strRef>
          </c:cat>
          <c:val>
            <c:numRef>
              <c:f>Charts!$B$12:$B$14</c:f>
              <c:numCache>
                <c:ptCount val="3"/>
                <c:pt idx="0">
                  <c:v>0</c:v>
                </c:pt>
                <c:pt idx="1">
                  <c:v>0</c:v>
                </c:pt>
                <c:pt idx="2">
                  <c:v>0</c:v>
                </c:pt>
              </c:numCache>
            </c:numRef>
          </c:val>
        </c:ser>
      </c:pieChart>
      <c:spPr>
        <a:noFill/>
        <a:ln>
          <a:noFill/>
        </a:ln>
      </c:spPr>
    </c:plotArea>
    <c:legend>
      <c:legendPos val="r"/>
      <c:layout>
        <c:manualLayout>
          <c:xMode val="edge"/>
          <c:yMode val="edge"/>
          <c:x val="0.8375"/>
          <c:y val="0.4775"/>
          <c:w val="0.14625"/>
          <c:h val="0.15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Boston 2020 GHG Savings By Individual Programs</a:t>
            </a:r>
          </a:p>
        </c:rich>
      </c:tx>
      <c:layout>
        <c:manualLayout>
          <c:xMode val="factor"/>
          <c:yMode val="factor"/>
          <c:x val="-0.0545"/>
          <c:y val="-0.007"/>
        </c:manualLayout>
      </c:layout>
      <c:spPr>
        <a:noFill/>
        <a:ln>
          <a:noFill/>
        </a:ln>
      </c:spPr>
    </c:title>
    <c:plotArea>
      <c:layout>
        <c:manualLayout>
          <c:xMode val="edge"/>
          <c:yMode val="edge"/>
          <c:x val="0.175"/>
          <c:y val="0.31525"/>
          <c:w val="0.66825"/>
          <c:h val="0.53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00CCFF"/>
              </a:solidFill>
              <a:ln w="12700">
                <a:solidFill>
                  <a:srgbClr val="000000"/>
                </a:solidFill>
              </a:ln>
            </c:spPr>
          </c:dPt>
          <c:dPt>
            <c:idx val="17"/>
            <c:spPr>
              <a:solidFill>
                <a:srgbClr val="CCFFFF"/>
              </a:solidFill>
              <a:ln w="12700">
                <a:solidFill>
                  <a:srgbClr val="000000"/>
                </a:solidFill>
              </a:ln>
            </c:spPr>
          </c:dPt>
          <c:dPt>
            <c:idx val="18"/>
            <c:spPr>
              <a:solidFill>
                <a:srgbClr val="CCFFCC"/>
              </a:solidFill>
              <a:ln w="12700">
                <a:solidFill>
                  <a:srgbClr val="000000"/>
                </a:solidFill>
              </a:ln>
            </c:spPr>
          </c:dPt>
          <c:dPt>
            <c:idx val="19"/>
            <c:spPr>
              <a:solidFill>
                <a:srgbClr val="FFFF99"/>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3"/>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8"/>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9"/>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Charts!$A$57:$A$76</c:f>
              <c:strCache/>
            </c:strRef>
          </c:cat>
          <c:val>
            <c:numRef>
              <c:f>Charts!$B$57:$B$76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pieChart>
      <c:spPr>
        <a:noFill/>
        <a:ln>
          <a:noFill/>
        </a:ln>
      </c:spPr>
    </c:plotArea>
    <c:legend>
      <c:legendPos val="r"/>
      <c:layout>
        <c:manualLayout>
          <c:xMode val="edge"/>
          <c:yMode val="edge"/>
          <c:x val="0.00425"/>
          <c:y val="0.1005"/>
          <c:w val="0.9915"/>
          <c:h val="0.11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Boston 2020 GHG Savings By Program Status</a:t>
            </a:r>
          </a:p>
        </c:rich>
      </c:tx>
      <c:layout>
        <c:manualLayout>
          <c:xMode val="factor"/>
          <c:yMode val="factor"/>
          <c:x val="-0.0255"/>
          <c:y val="0"/>
        </c:manualLayout>
      </c:layout>
      <c:spPr>
        <a:noFill/>
        <a:ln>
          <a:noFill/>
        </a:ln>
      </c:spPr>
    </c:title>
    <c:plotArea>
      <c:layout>
        <c:manualLayout>
          <c:xMode val="edge"/>
          <c:yMode val="edge"/>
          <c:x val="0.256"/>
          <c:y val="0.261"/>
          <c:w val="0.35375"/>
          <c:h val="0.58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Charts!$A$91:$A$92</c:f>
              <c:strCache/>
            </c:strRef>
          </c:cat>
          <c:val>
            <c:numRef>
              <c:f>Charts!$B$91:$B$92</c:f>
              <c:numCache>
                <c:ptCount val="2"/>
                <c:pt idx="0">
                  <c:v>0</c:v>
                </c:pt>
                <c:pt idx="1">
                  <c:v>0</c:v>
                </c:pt>
              </c:numCache>
            </c:numRef>
          </c:val>
        </c:ser>
      </c:pieChart>
      <c:spPr>
        <a:noFill/>
        <a:ln>
          <a:noFill/>
        </a:ln>
      </c:spPr>
    </c:plotArea>
    <c:legend>
      <c:legendPos val="r"/>
      <c:layout>
        <c:manualLayout>
          <c:xMode val="edge"/>
          <c:yMode val="edge"/>
          <c:x val="0.873"/>
          <c:y val="0.5025"/>
          <c:w val="0.112"/>
          <c:h val="0.10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Boston 2020 GHG Savings By Program Jurisdiction</a:t>
            </a:r>
          </a:p>
        </c:rich>
      </c:tx>
      <c:layout>
        <c:manualLayout>
          <c:xMode val="factor"/>
          <c:yMode val="factor"/>
          <c:x val="-0.027"/>
          <c:y val="0"/>
        </c:manualLayout>
      </c:layout>
      <c:spPr>
        <a:noFill/>
        <a:ln>
          <a:noFill/>
        </a:ln>
      </c:spPr>
    </c:title>
    <c:plotArea>
      <c:layout>
        <c:manualLayout>
          <c:xMode val="edge"/>
          <c:yMode val="edge"/>
          <c:x val="0.26575"/>
          <c:y val="0.261"/>
          <c:w val="0.35425"/>
          <c:h val="0.58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Charts!$A$118:$A$120</c:f>
              <c:strCache/>
            </c:strRef>
          </c:cat>
          <c:val>
            <c:numRef>
              <c:f>Charts!$B$118:$B$120</c:f>
              <c:numCache>
                <c:ptCount val="3"/>
                <c:pt idx="0">
                  <c:v>0</c:v>
                </c:pt>
                <c:pt idx="1">
                  <c:v>0</c:v>
                </c:pt>
                <c:pt idx="2">
                  <c:v>0</c:v>
                </c:pt>
              </c:numCache>
            </c:numRef>
          </c:val>
        </c:ser>
      </c:pieChart>
      <c:spPr>
        <a:noFill/>
        <a:ln>
          <a:noFill/>
        </a:ln>
      </c:spPr>
    </c:plotArea>
    <c:legend>
      <c:legendPos val="r"/>
      <c:layout>
        <c:manualLayout>
          <c:xMode val="edge"/>
          <c:yMode val="edge"/>
          <c:x val="0.8925"/>
          <c:y val="0.4775"/>
          <c:w val="0.09425"/>
          <c:h val="0.15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Boston 2020 GHG Savings by Fuel Type</a:t>
            </a:r>
          </a:p>
        </c:rich>
      </c:tx>
      <c:layout>
        <c:manualLayout>
          <c:xMode val="factor"/>
          <c:yMode val="factor"/>
          <c:x val="-0.024"/>
          <c:y val="0"/>
        </c:manualLayout>
      </c:layout>
      <c:spPr>
        <a:noFill/>
        <a:ln>
          <a:noFill/>
        </a:ln>
      </c:spPr>
    </c:title>
    <c:plotArea>
      <c:layout>
        <c:manualLayout>
          <c:xMode val="edge"/>
          <c:yMode val="edge"/>
          <c:x val="0.2435"/>
          <c:y val="0.261"/>
          <c:w val="0.35425"/>
          <c:h val="0.58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Charts!$A$147:$A$151</c:f>
              <c:strCache/>
            </c:strRef>
          </c:cat>
          <c:val>
            <c:numRef>
              <c:f>Charts!$B$147:$B$151</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849"/>
          <c:y val="0.42525"/>
          <c:w val="0.133"/>
          <c:h val="0.26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45"/>
          <c:y val="-0.0035"/>
        </c:manualLayout>
      </c:layout>
      <c:spPr>
        <a:noFill/>
        <a:ln>
          <a:noFill/>
        </a:ln>
      </c:spPr>
      <c:txPr>
        <a:bodyPr vert="horz" rot="0"/>
        <a:lstStyle/>
        <a:p>
          <a:pPr>
            <a:defRPr lang="en-US" cap="none" sz="1175" b="0" i="0" u="none" baseline="0">
              <a:solidFill>
                <a:srgbClr val="000000"/>
              </a:solidFill>
              <a:latin typeface="Arial"/>
              <a:ea typeface="Arial"/>
              <a:cs typeface="Arial"/>
            </a:defRPr>
          </a:pPr>
        </a:p>
      </c:txPr>
    </c:title>
    <c:plotArea>
      <c:layout>
        <c:manualLayout>
          <c:xMode val="edge"/>
          <c:yMode val="edge"/>
          <c:x val="0.07875"/>
          <c:y val="0.169"/>
          <c:w val="0.72925"/>
          <c:h val="0.79175"/>
        </c:manualLayout>
      </c:layout>
      <c:lineChart>
        <c:grouping val="standard"/>
        <c:varyColors val="0"/>
        <c:ser>
          <c:idx val="0"/>
          <c:order val="0"/>
          <c:tx>
            <c:strRef>
              <c:f>'[1]Summary-eCO2'!$A$1</c:f>
              <c:strCache>
                <c:ptCount val="1"/>
                <c:pt idx="0">
                  <c:v>Boston Community Greenhouse Gas Inventory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'[1]Summary-eCO2'!$C$3:$K$3</c:f>
              <c:strCache>
                <c:ptCount val="9"/>
                <c:pt idx="0">
                  <c:v>2004</c:v>
                </c:pt>
                <c:pt idx="1">
                  <c:v>% of Total</c:v>
                </c:pt>
                <c:pt idx="2">
                  <c:v>2005</c:v>
                </c:pt>
                <c:pt idx="3">
                  <c:v>% of Total</c:v>
                </c:pt>
                <c:pt idx="4">
                  <c:v>2006</c:v>
                </c:pt>
                <c:pt idx="5">
                  <c:v>% of Total</c:v>
                </c:pt>
                <c:pt idx="6">
                  <c:v>2007</c:v>
                </c:pt>
                <c:pt idx="7">
                  <c:v>% of Total</c:v>
                </c:pt>
                <c:pt idx="8">
                  <c:v>2008</c:v>
                </c:pt>
              </c:strCache>
            </c:strRef>
          </c:cat>
          <c:val>
            <c:numRef>
              <c:f>'[1]Summary-eCO2'!$C$41:$K$41</c:f>
              <c:numCache>
                <c:ptCount val="9"/>
                <c:pt idx="0">
                  <c:v>8116479</c:v>
                </c:pt>
                <c:pt idx="2">
                  <c:v>8427963</c:v>
                </c:pt>
                <c:pt idx="4">
                  <c:v>8050594</c:v>
                </c:pt>
                <c:pt idx="6">
                  <c:v>8542913</c:v>
                </c:pt>
                <c:pt idx="8">
                  <c:v>8630417</c:v>
                </c:pt>
              </c:numCache>
            </c:numRef>
          </c:val>
          <c:smooth val="0"/>
        </c:ser>
        <c:marker val="1"/>
        <c:axId val="63523227"/>
        <c:axId val="34838132"/>
      </c:lineChart>
      <c:catAx>
        <c:axId val="6352322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a:t>
                </a:r>
              </a:p>
            </c:rich>
          </c:tx>
          <c:layout>
            <c:manualLayout>
              <c:xMode val="factor"/>
              <c:yMode val="factor"/>
              <c:x val="0.022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4838132"/>
        <c:crosses val="autoZero"/>
        <c:auto val="1"/>
        <c:lblOffset val="100"/>
        <c:tickLblSkip val="1"/>
        <c:noMultiLvlLbl val="0"/>
      </c:catAx>
      <c:valAx>
        <c:axId val="3483813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Million tons of eCO2</a:t>
                </a:r>
              </a:p>
            </c:rich>
          </c:tx>
          <c:layout>
            <c:manualLayout>
              <c:xMode val="factor"/>
              <c:yMode val="factor"/>
              <c:x val="-0.00475"/>
              <c:y val="-0.00325"/>
            </c:manualLayout>
          </c:layout>
          <c:overlay val="0"/>
          <c:spPr>
            <a:noFill/>
            <a:ln>
              <a:noFill/>
            </a:ln>
          </c:spPr>
        </c:title>
        <c:delete val="0"/>
        <c:numFmt formatCode="##0.0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3523227"/>
        <c:crossesAt val="1"/>
        <c:crossBetween val="between"/>
        <c:dispUnits/>
      </c:valAx>
      <c:spPr>
        <a:solidFill>
          <a:srgbClr val="C0C0C0"/>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28575</xdr:rowOff>
    </xdr:from>
    <xdr:to>
      <xdr:col>12</xdr:col>
      <xdr:colOff>476250</xdr:colOff>
      <xdr:row>25</xdr:row>
      <xdr:rowOff>57150</xdr:rowOff>
    </xdr:to>
    <xdr:graphicFrame>
      <xdr:nvGraphicFramePr>
        <xdr:cNvPr id="1" name="Chart 5"/>
        <xdr:cNvGraphicFramePr/>
      </xdr:nvGraphicFramePr>
      <xdr:xfrm>
        <a:off x="4438650" y="228600"/>
        <a:ext cx="6534150" cy="39147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29</xdr:row>
      <xdr:rowOff>47625</xdr:rowOff>
    </xdr:from>
    <xdr:to>
      <xdr:col>12</xdr:col>
      <xdr:colOff>695325</xdr:colOff>
      <xdr:row>80</xdr:row>
      <xdr:rowOff>114300</xdr:rowOff>
    </xdr:to>
    <xdr:graphicFrame>
      <xdr:nvGraphicFramePr>
        <xdr:cNvPr id="2" name="Chart 6"/>
        <xdr:cNvGraphicFramePr/>
      </xdr:nvGraphicFramePr>
      <xdr:xfrm>
        <a:off x="4457700" y="4781550"/>
        <a:ext cx="6734175" cy="8324850"/>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83</xdr:row>
      <xdr:rowOff>152400</xdr:rowOff>
    </xdr:from>
    <xdr:to>
      <xdr:col>12</xdr:col>
      <xdr:colOff>409575</xdr:colOff>
      <xdr:row>108</xdr:row>
      <xdr:rowOff>19050</xdr:rowOff>
    </xdr:to>
    <xdr:graphicFrame>
      <xdr:nvGraphicFramePr>
        <xdr:cNvPr id="3" name="Chart 7"/>
        <xdr:cNvGraphicFramePr/>
      </xdr:nvGraphicFramePr>
      <xdr:xfrm>
        <a:off x="4448175" y="13630275"/>
        <a:ext cx="6457950" cy="3914775"/>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110</xdr:row>
      <xdr:rowOff>142875</xdr:rowOff>
    </xdr:from>
    <xdr:to>
      <xdr:col>12</xdr:col>
      <xdr:colOff>409575</xdr:colOff>
      <xdr:row>135</xdr:row>
      <xdr:rowOff>9525</xdr:rowOff>
    </xdr:to>
    <xdr:graphicFrame>
      <xdr:nvGraphicFramePr>
        <xdr:cNvPr id="4" name="Chart 8"/>
        <xdr:cNvGraphicFramePr/>
      </xdr:nvGraphicFramePr>
      <xdr:xfrm>
        <a:off x="4448175" y="17992725"/>
        <a:ext cx="6457950" cy="3914775"/>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137</xdr:row>
      <xdr:rowOff>19050</xdr:rowOff>
    </xdr:from>
    <xdr:to>
      <xdr:col>12</xdr:col>
      <xdr:colOff>400050</xdr:colOff>
      <xdr:row>161</xdr:row>
      <xdr:rowOff>47625</xdr:rowOff>
    </xdr:to>
    <xdr:graphicFrame>
      <xdr:nvGraphicFramePr>
        <xdr:cNvPr id="5" name="Chart 10"/>
        <xdr:cNvGraphicFramePr/>
      </xdr:nvGraphicFramePr>
      <xdr:xfrm>
        <a:off x="4438650" y="22240875"/>
        <a:ext cx="6457950" cy="39147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48</xdr:row>
      <xdr:rowOff>57150</xdr:rowOff>
    </xdr:from>
    <xdr:to>
      <xdr:col>12</xdr:col>
      <xdr:colOff>180975</xdr:colOff>
      <xdr:row>65</xdr:row>
      <xdr:rowOff>38100</xdr:rowOff>
    </xdr:to>
    <xdr:graphicFrame>
      <xdr:nvGraphicFramePr>
        <xdr:cNvPr id="1" name="Chart 1"/>
        <xdr:cNvGraphicFramePr/>
      </xdr:nvGraphicFramePr>
      <xdr:xfrm>
        <a:off x="2266950" y="8258175"/>
        <a:ext cx="4772025"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123</xdr:row>
      <xdr:rowOff>38100</xdr:rowOff>
    </xdr:from>
    <xdr:to>
      <xdr:col>14</xdr:col>
      <xdr:colOff>180975</xdr:colOff>
      <xdr:row>163</xdr:row>
      <xdr:rowOff>66675</xdr:rowOff>
    </xdr:to>
    <xdr:pic>
      <xdr:nvPicPr>
        <xdr:cNvPr id="1" name="Picture 2"/>
        <xdr:cNvPicPr preferRelativeResize="1">
          <a:picLocks noChangeAspect="1"/>
        </xdr:cNvPicPr>
      </xdr:nvPicPr>
      <xdr:blipFill>
        <a:blip r:embed="rId1"/>
        <a:stretch>
          <a:fillRect/>
        </a:stretch>
      </xdr:blipFill>
      <xdr:spPr>
        <a:xfrm>
          <a:off x="333375" y="20031075"/>
          <a:ext cx="8677275" cy="6505575"/>
        </a:xfrm>
        <a:prstGeom prst="rect">
          <a:avLst/>
        </a:prstGeom>
        <a:noFill/>
        <a:ln w="9525" cmpd="sng">
          <a:noFill/>
        </a:ln>
      </xdr:spPr>
    </xdr:pic>
    <xdr:clientData/>
  </xdr:twoCellAnchor>
  <xdr:twoCellAnchor editAs="oneCell">
    <xdr:from>
      <xdr:col>0</xdr:col>
      <xdr:colOff>200025</xdr:colOff>
      <xdr:row>18</xdr:row>
      <xdr:rowOff>28575</xdr:rowOff>
    </xdr:from>
    <xdr:to>
      <xdr:col>12</xdr:col>
      <xdr:colOff>285750</xdr:colOff>
      <xdr:row>75</xdr:row>
      <xdr:rowOff>66675</xdr:rowOff>
    </xdr:to>
    <xdr:pic>
      <xdr:nvPicPr>
        <xdr:cNvPr id="2" name="Picture 36"/>
        <xdr:cNvPicPr preferRelativeResize="1">
          <a:picLocks noChangeAspect="1"/>
        </xdr:cNvPicPr>
      </xdr:nvPicPr>
      <xdr:blipFill>
        <a:blip r:embed="rId2"/>
        <a:stretch>
          <a:fillRect/>
        </a:stretch>
      </xdr:blipFill>
      <xdr:spPr>
        <a:xfrm>
          <a:off x="200025" y="3019425"/>
          <a:ext cx="7696200" cy="9267825"/>
        </a:xfrm>
        <a:prstGeom prst="rect">
          <a:avLst/>
        </a:prstGeom>
        <a:noFill/>
        <a:ln w="9525" cmpd="sng">
          <a:noFill/>
        </a:ln>
      </xdr:spPr>
    </xdr:pic>
    <xdr:clientData/>
  </xdr:twoCellAnchor>
  <xdr:twoCellAnchor editAs="oneCell">
    <xdr:from>
      <xdr:col>4</xdr:col>
      <xdr:colOff>466725</xdr:colOff>
      <xdr:row>76</xdr:row>
      <xdr:rowOff>9525</xdr:rowOff>
    </xdr:from>
    <xdr:to>
      <xdr:col>12</xdr:col>
      <xdr:colOff>314325</xdr:colOff>
      <xdr:row>121</xdr:row>
      <xdr:rowOff>104775</xdr:rowOff>
    </xdr:to>
    <xdr:pic>
      <xdr:nvPicPr>
        <xdr:cNvPr id="3" name="Picture 37"/>
        <xdr:cNvPicPr preferRelativeResize="1">
          <a:picLocks noChangeAspect="1"/>
        </xdr:cNvPicPr>
      </xdr:nvPicPr>
      <xdr:blipFill>
        <a:blip r:embed="rId3"/>
        <a:stretch>
          <a:fillRect/>
        </a:stretch>
      </xdr:blipFill>
      <xdr:spPr>
        <a:xfrm>
          <a:off x="2905125" y="12392025"/>
          <a:ext cx="5019675" cy="7381875"/>
        </a:xfrm>
        <a:prstGeom prst="rect">
          <a:avLst/>
        </a:prstGeom>
        <a:noFill/>
        <a:ln w="9525" cmpd="sng">
          <a:noFill/>
        </a:ln>
      </xdr:spPr>
    </xdr:pic>
    <xdr:clientData/>
  </xdr:twoCellAnchor>
  <xdr:twoCellAnchor editAs="oneCell">
    <xdr:from>
      <xdr:col>0</xdr:col>
      <xdr:colOff>114300</xdr:colOff>
      <xdr:row>11</xdr:row>
      <xdr:rowOff>57150</xdr:rowOff>
    </xdr:from>
    <xdr:to>
      <xdr:col>8</xdr:col>
      <xdr:colOff>257175</xdr:colOff>
      <xdr:row>56</xdr:row>
      <xdr:rowOff>152400</xdr:rowOff>
    </xdr:to>
    <xdr:pic>
      <xdr:nvPicPr>
        <xdr:cNvPr id="4" name="Picture 62"/>
        <xdr:cNvPicPr preferRelativeResize="1">
          <a:picLocks noChangeAspect="1"/>
        </xdr:cNvPicPr>
      </xdr:nvPicPr>
      <xdr:blipFill>
        <a:blip r:embed="rId3"/>
        <a:stretch>
          <a:fillRect/>
        </a:stretch>
      </xdr:blipFill>
      <xdr:spPr>
        <a:xfrm>
          <a:off x="114300" y="1914525"/>
          <a:ext cx="5019675" cy="7381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aabmain\my%20documents\Documents%20and%20Settings\wlarsen.CLF\Local%20Settings\Temporary%20Internet%20Files\OLK2\MASTER%202004-2008%20Community%20Inventory%20Data%20Summary_102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aabmain\my%20documents\Documents%20and%20Settings\wlarsen.CLF\Local%20Settings\Temporary%20Internet%20Files\OLK2\JDR%202009-12-22-Boston-impacts-2020_for-LeadCom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aabmain\my%20documents\Documents%20and%20Settings\Administrator\Local%20Settings\Temporary%20Internet%20Files\OLK30\Cool%20Green%20Roofs%20revi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Summary-eCO2"/>
      <sheetName val="Summary-Fuel"/>
      <sheetName val="VMTs"/>
      <sheetName val="2005"/>
      <sheetName val="2006"/>
      <sheetName val="2007"/>
      <sheetName val="2008"/>
      <sheetName val="Notes"/>
      <sheetName val="Waste"/>
    </sheetNames>
    <sheetDataSet>
      <sheetData sheetId="1">
        <row r="1">
          <cell r="A1" t="str">
            <v>Boston Community Greenhouse Gas Inventory</v>
          </cell>
        </row>
        <row r="3">
          <cell r="C3">
            <v>2004</v>
          </cell>
          <cell r="D3" t="str">
            <v>% of Total</v>
          </cell>
          <cell r="E3">
            <v>2005</v>
          </cell>
          <cell r="F3" t="str">
            <v>% of Total</v>
          </cell>
          <cell r="G3">
            <v>2006</v>
          </cell>
          <cell r="H3" t="str">
            <v>% of Total</v>
          </cell>
          <cell r="I3">
            <v>2007</v>
          </cell>
          <cell r="J3" t="str">
            <v>% of Total</v>
          </cell>
          <cell r="K3">
            <v>2008</v>
          </cell>
        </row>
        <row r="41">
          <cell r="C41">
            <v>8116479</v>
          </cell>
          <cell r="E41">
            <v>8427963</v>
          </cell>
          <cell r="G41">
            <v>8050594</v>
          </cell>
          <cell r="I41">
            <v>8542913</v>
          </cell>
          <cell r="K41">
            <v>8630417</v>
          </cell>
        </row>
      </sheetData>
      <sheetData sheetId="2">
        <row r="5">
          <cell r="B5">
            <v>1034714195</v>
          </cell>
        </row>
        <row r="12">
          <cell r="B12">
            <v>4304431861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Boston-in-NSTAR"/>
      <sheetName val="data-GHG"/>
      <sheetName val="NSTAR chart"/>
    </sheetNames>
    <sheetDataSet>
      <sheetData sheetId="1">
        <row r="11">
          <cell r="L11">
            <v>1246359067</v>
          </cell>
        </row>
        <row r="15">
          <cell r="L15">
            <v>6777477877</v>
          </cell>
        </row>
      </sheetData>
      <sheetData sheetId="2">
        <row r="7">
          <cell r="G7">
            <v>76518407</v>
          </cell>
        </row>
        <row r="14">
          <cell r="G14">
            <v>236638842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ol Roof (Residential)"/>
      <sheetName val="Cool Roof (CI)"/>
      <sheetName val="Green Roof (CI)"/>
    </sheetNames>
    <sheetDataSet>
      <sheetData sheetId="0">
        <row r="44">
          <cell r="D44">
            <v>116313726.202872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1"/>
  <sheetViews>
    <sheetView tabSelected="1" zoomScalePageLayoutView="0" workbookViewId="0" topLeftCell="A1">
      <selection activeCell="E10" sqref="E10"/>
    </sheetView>
  </sheetViews>
  <sheetFormatPr defaultColWidth="9.140625" defaultRowHeight="12.75"/>
  <cols>
    <col min="1" max="1" width="44.28125" style="0" customWidth="1"/>
    <col min="2" max="2" width="9.57421875" style="0" customWidth="1"/>
    <col min="3" max="3" width="7.57421875" style="0" customWidth="1"/>
    <col min="4" max="4" width="10.57421875" style="0" customWidth="1"/>
    <col min="5" max="5" width="15.421875" style="0" bestFit="1" customWidth="1"/>
    <col min="6" max="6" width="12.8515625" style="0" customWidth="1"/>
    <col min="7" max="7" width="12.28125" style="0" customWidth="1"/>
    <col min="14" max="14" width="12.421875" style="0" customWidth="1"/>
  </cols>
  <sheetData>
    <row r="1" ht="18">
      <c r="A1" s="3" t="s">
        <v>36</v>
      </c>
    </row>
    <row r="3" spans="2:6" ht="12.75">
      <c r="B3" s="4" t="s">
        <v>41</v>
      </c>
      <c r="C3" s="4"/>
      <c r="D3" s="4" t="s">
        <v>42</v>
      </c>
      <c r="E3" s="4"/>
      <c r="F3" s="4"/>
    </row>
    <row r="4" spans="2:17" ht="13.5" thickBot="1">
      <c r="B4" s="4" t="s">
        <v>59</v>
      </c>
      <c r="C4" s="4" t="s">
        <v>43</v>
      </c>
      <c r="D4" s="4" t="s">
        <v>59</v>
      </c>
      <c r="E4" s="4" t="s">
        <v>43</v>
      </c>
      <c r="F4" s="4"/>
      <c r="H4" s="140" t="s">
        <v>111</v>
      </c>
      <c r="I4" s="141"/>
      <c r="J4" s="142" t="s">
        <v>115</v>
      </c>
      <c r="K4" s="143"/>
      <c r="L4" s="143"/>
      <c r="M4" s="144" t="s">
        <v>229</v>
      </c>
      <c r="N4" s="145"/>
      <c r="O4" s="145"/>
      <c r="P4" s="145"/>
      <c r="Q4" s="145"/>
    </row>
    <row r="5" spans="1:17" ht="15.75">
      <c r="A5" s="6" t="s">
        <v>37</v>
      </c>
      <c r="B5" s="6">
        <f>1480+4720-182</f>
        <v>6018</v>
      </c>
      <c r="C5" s="7">
        <f>0.173+0.553-0.021</f>
        <v>0.705</v>
      </c>
      <c r="D5" s="171">
        <f>+E5*B36</f>
        <v>1376.5126114918778</v>
      </c>
      <c r="E5" s="5">
        <f>SUM(E6:E18)</f>
        <v>0.16110868580195198</v>
      </c>
      <c r="F5" s="5"/>
      <c r="H5" s="137" t="s">
        <v>113</v>
      </c>
      <c r="I5" s="137" t="s">
        <v>112</v>
      </c>
      <c r="J5" s="138" t="s">
        <v>116</v>
      </c>
      <c r="K5" s="138" t="s">
        <v>117</v>
      </c>
      <c r="L5" s="138" t="s">
        <v>118</v>
      </c>
      <c r="M5" s="139" t="s">
        <v>230</v>
      </c>
      <c r="N5" s="139" t="s">
        <v>93</v>
      </c>
      <c r="O5" s="139" t="s">
        <v>94</v>
      </c>
      <c r="P5" s="139" t="s">
        <v>90</v>
      </c>
      <c r="Q5" s="139" t="s">
        <v>91</v>
      </c>
    </row>
    <row r="6" spans="1:17" ht="12.75">
      <c r="A6" t="s">
        <v>50</v>
      </c>
      <c r="C6" s="2"/>
      <c r="E6" s="1">
        <f>+RPS!D10*'Boston GHG'!R5</f>
        <v>0.028820846663608495</v>
      </c>
      <c r="F6" s="1"/>
      <c r="H6" s="153" t="s">
        <v>114</v>
      </c>
      <c r="I6" s="153"/>
      <c r="J6" s="154"/>
      <c r="K6" s="154" t="s">
        <v>114</v>
      </c>
      <c r="L6" s="154"/>
      <c r="M6" s="155" t="s">
        <v>114</v>
      </c>
      <c r="N6" s="155"/>
      <c r="O6" s="155"/>
      <c r="P6" s="155"/>
      <c r="Q6" s="155"/>
    </row>
    <row r="7" spans="1:17" ht="12.75">
      <c r="A7" t="s">
        <v>136</v>
      </c>
      <c r="C7" s="2"/>
      <c r="E7" s="1">
        <f>+'Utility Energy Efficiency'!D10*'Boston GHG'!R5</f>
        <v>0.06110019492685</v>
      </c>
      <c r="F7" s="1"/>
      <c r="H7" s="153" t="s">
        <v>114</v>
      </c>
      <c r="I7" s="153"/>
      <c r="J7" s="154"/>
      <c r="K7" s="154" t="s">
        <v>114</v>
      </c>
      <c r="L7" s="154"/>
      <c r="M7" s="155" t="s">
        <v>114</v>
      </c>
      <c r="N7" s="155"/>
      <c r="O7" s="155"/>
      <c r="P7" s="155"/>
      <c r="Q7" s="155"/>
    </row>
    <row r="8" spans="1:17" ht="12.75">
      <c r="A8" t="s">
        <v>137</v>
      </c>
      <c r="C8" s="2"/>
      <c r="E8" s="1">
        <f>+'Utility Energy Efficiency'!D27*'Boston GHG'!R6</f>
        <v>0.01773160972407243</v>
      </c>
      <c r="F8" s="1"/>
      <c r="H8" s="153" t="s">
        <v>114</v>
      </c>
      <c r="I8" s="153"/>
      <c r="J8" s="154"/>
      <c r="K8" s="154" t="s">
        <v>114</v>
      </c>
      <c r="L8" s="154"/>
      <c r="M8" s="155"/>
      <c r="N8" s="155" t="s">
        <v>114</v>
      </c>
      <c r="O8" s="155"/>
      <c r="P8" s="155"/>
      <c r="Q8" s="155"/>
    </row>
    <row r="9" spans="1:17" ht="12.75">
      <c r="A9" t="s">
        <v>51</v>
      </c>
      <c r="C9" s="2"/>
      <c r="E9" s="109">
        <f>(+'Boston GHG'!R5*'Buildings-Peregrine'!J14+'Buildings-Peregrine'!J15*'Boston GHG'!R6)</f>
        <v>0.002947546786512522</v>
      </c>
      <c r="F9" s="213"/>
      <c r="H9" s="153" t="s">
        <v>114</v>
      </c>
      <c r="I9" s="153"/>
      <c r="J9" s="154"/>
      <c r="K9" s="154" t="s">
        <v>114</v>
      </c>
      <c r="L9" s="154"/>
      <c r="M9" s="155" t="s">
        <v>114</v>
      </c>
      <c r="N9" s="155" t="s">
        <v>114</v>
      </c>
      <c r="O9" s="155"/>
      <c r="P9" s="155"/>
      <c r="Q9" s="155"/>
    </row>
    <row r="10" spans="1:17" ht="12.75">
      <c r="A10" t="s">
        <v>53</v>
      </c>
      <c r="C10" s="2"/>
      <c r="E10" s="1">
        <f>+'Appliance Standards'!$J$17</f>
        <v>0.0128</v>
      </c>
      <c r="F10" s="1"/>
      <c r="H10" s="153" t="s">
        <v>114</v>
      </c>
      <c r="I10" s="153"/>
      <c r="J10" s="154"/>
      <c r="K10" s="154"/>
      <c r="L10" s="154" t="s">
        <v>114</v>
      </c>
      <c r="M10" s="155" t="s">
        <v>114</v>
      </c>
      <c r="N10" s="155" t="s">
        <v>114</v>
      </c>
      <c r="O10" s="155"/>
      <c r="P10" s="155"/>
      <c r="Q10" s="155"/>
    </row>
    <row r="11" spans="1:17" ht="12.75">
      <c r="A11" s="103" t="s">
        <v>500</v>
      </c>
      <c r="C11" s="2"/>
      <c r="E11" s="1"/>
      <c r="F11" s="1"/>
      <c r="H11" s="153" t="s">
        <v>114</v>
      </c>
      <c r="I11" s="153"/>
      <c r="J11" s="154"/>
      <c r="K11" s="154" t="s">
        <v>114</v>
      </c>
      <c r="L11" s="154"/>
      <c r="M11" s="155" t="s">
        <v>114</v>
      </c>
      <c r="N11" s="155"/>
      <c r="O11" s="155"/>
      <c r="P11" s="155"/>
      <c r="Q11" s="155"/>
    </row>
    <row r="12" spans="1:17" ht="12.75">
      <c r="A12" s="103"/>
      <c r="C12" s="2"/>
      <c r="E12" s="1"/>
      <c r="F12" s="1"/>
      <c r="H12" s="153"/>
      <c r="I12" s="153"/>
      <c r="J12" s="154"/>
      <c r="K12" s="154"/>
      <c r="L12" s="154"/>
      <c r="M12" s="155"/>
      <c r="N12" s="155"/>
      <c r="O12" s="155"/>
      <c r="P12" s="155"/>
      <c r="Q12" s="155"/>
    </row>
    <row r="13" spans="1:17" ht="12.75">
      <c r="A13" t="s">
        <v>52</v>
      </c>
      <c r="C13" s="2"/>
      <c r="E13" s="109">
        <f>+E9/2</f>
        <v>0.001473773393256261</v>
      </c>
      <c r="F13" s="213"/>
      <c r="H13" s="153"/>
      <c r="I13" s="153" t="s">
        <v>114</v>
      </c>
      <c r="J13" s="154" t="s">
        <v>114</v>
      </c>
      <c r="K13" s="154"/>
      <c r="L13" s="154"/>
      <c r="M13" s="155" t="s">
        <v>114</v>
      </c>
      <c r="N13" s="155" t="s">
        <v>114</v>
      </c>
      <c r="O13" s="155"/>
      <c r="P13" s="155"/>
      <c r="Q13" s="155"/>
    </row>
    <row r="14" spans="1:17" ht="12.75">
      <c r="A14" t="s">
        <v>54</v>
      </c>
      <c r="C14" s="2"/>
      <c r="E14" s="109">
        <f>+'Labeling RECO'!B56</f>
        <v>0.0054558</v>
      </c>
      <c r="F14" s="109"/>
      <c r="H14" s="153"/>
      <c r="I14" s="153" t="s">
        <v>114</v>
      </c>
      <c r="J14" s="154" t="s">
        <v>114</v>
      </c>
      <c r="K14" s="154"/>
      <c r="L14" s="154"/>
      <c r="M14" s="155" t="s">
        <v>114</v>
      </c>
      <c r="N14" s="155" t="s">
        <v>114</v>
      </c>
      <c r="O14" s="155"/>
      <c r="P14" s="155"/>
      <c r="Q14" s="155"/>
    </row>
    <row r="15" spans="1:17" ht="12.75">
      <c r="A15" t="s">
        <v>55</v>
      </c>
      <c r="C15" s="2"/>
      <c r="E15" s="109">
        <f>+'Labeling RECO'!L56</f>
        <v>0.016405499999999996</v>
      </c>
      <c r="F15" s="109"/>
      <c r="H15" s="153"/>
      <c r="I15" s="153" t="s">
        <v>114</v>
      </c>
      <c r="J15" s="154" t="s">
        <v>114</v>
      </c>
      <c r="K15" s="154"/>
      <c r="L15" s="154"/>
      <c r="M15" s="155" t="s">
        <v>114</v>
      </c>
      <c r="N15" s="155" t="s">
        <v>114</v>
      </c>
      <c r="O15" s="155"/>
      <c r="P15" s="155"/>
      <c r="Q15" s="155"/>
    </row>
    <row r="16" spans="1:17" ht="12.75">
      <c r="A16" t="s">
        <v>56</v>
      </c>
      <c r="C16" s="2"/>
      <c r="E16" s="109">
        <f>+'Utility Energy Efficiency'!D55*'Boston GHG'!R7</f>
        <v>0.007605559354779728</v>
      </c>
      <c r="F16" s="109"/>
      <c r="H16" s="153"/>
      <c r="I16" s="153" t="s">
        <v>114</v>
      </c>
      <c r="J16" s="154" t="s">
        <v>114</v>
      </c>
      <c r="K16" s="154"/>
      <c r="L16" s="154"/>
      <c r="M16" s="155"/>
      <c r="N16" s="155"/>
      <c r="O16" s="155" t="s">
        <v>114</v>
      </c>
      <c r="P16" s="155"/>
      <c r="Q16" s="155"/>
    </row>
    <row r="17" spans="1:17" ht="12.75">
      <c r="A17" s="103" t="s">
        <v>58</v>
      </c>
      <c r="B17" s="103"/>
      <c r="C17" s="122"/>
      <c r="D17" s="103"/>
      <c r="E17" s="109">
        <f>'Cool Roofs'!B6</f>
        <v>0.0019389283784092494</v>
      </c>
      <c r="F17" s="109"/>
      <c r="G17" s="103"/>
      <c r="H17" s="153"/>
      <c r="I17" s="153" t="s">
        <v>114</v>
      </c>
      <c r="J17" s="154" t="s">
        <v>114</v>
      </c>
      <c r="K17" s="154"/>
      <c r="L17" s="154"/>
      <c r="M17" s="155" t="s">
        <v>114</v>
      </c>
      <c r="N17" s="155" t="s">
        <v>114</v>
      </c>
      <c r="O17" s="155"/>
      <c r="P17" s="155"/>
      <c r="Q17" s="155"/>
    </row>
    <row r="18" spans="1:17" ht="12.75">
      <c r="A18" t="s">
        <v>60</v>
      </c>
      <c r="C18" s="2"/>
      <c r="E18" s="109">
        <f>0.05*'Boston GHG'!R7</f>
        <v>0.0048289265744633205</v>
      </c>
      <c r="F18" s="109"/>
      <c r="H18" s="153"/>
      <c r="I18" s="153" t="s">
        <v>114</v>
      </c>
      <c r="J18" s="154"/>
      <c r="K18" s="154" t="s">
        <v>114</v>
      </c>
      <c r="L18" s="154"/>
      <c r="M18" s="155"/>
      <c r="N18" s="155"/>
      <c r="O18" s="155" t="s">
        <v>114</v>
      </c>
      <c r="P18" s="155"/>
      <c r="Q18" s="155"/>
    </row>
    <row r="19" spans="3:17" ht="12.75">
      <c r="C19" s="2"/>
      <c r="E19" s="1"/>
      <c r="F19" s="1"/>
      <c r="H19" s="153"/>
      <c r="I19" s="153"/>
      <c r="J19" s="154"/>
      <c r="K19" s="154"/>
      <c r="L19" s="154"/>
      <c r="M19" s="155"/>
      <c r="N19" s="155"/>
      <c r="O19" s="155"/>
      <c r="P19" s="155"/>
      <c r="Q19" s="155"/>
    </row>
    <row r="20" spans="1:17" ht="15.75">
      <c r="A20" s="6" t="s">
        <v>38</v>
      </c>
      <c r="B20" s="6">
        <v>2310</v>
      </c>
      <c r="C20" s="7">
        <v>0.271</v>
      </c>
      <c r="D20" s="171">
        <f>+E20*B36</f>
        <v>558.7248029501875</v>
      </c>
      <c r="E20" s="5">
        <f>SUM(E21:E30)</f>
        <v>0.06539382057001258</v>
      </c>
      <c r="F20" s="5"/>
      <c r="H20" s="153"/>
      <c r="I20" s="153"/>
      <c r="J20" s="154"/>
      <c r="K20" s="154"/>
      <c r="L20" s="154"/>
      <c r="M20" s="155"/>
      <c r="N20" s="155"/>
      <c r="O20" s="155"/>
      <c r="P20" s="155"/>
      <c r="Q20" s="155"/>
    </row>
    <row r="21" spans="1:17" ht="12.75">
      <c r="A21" t="s">
        <v>44</v>
      </c>
      <c r="C21" s="2"/>
      <c r="E21" s="109">
        <f>Pavley!B7*'Boston GHG'!R9</f>
        <v>0.034420531476057295</v>
      </c>
      <c r="F21" s="109"/>
      <c r="H21" s="153" t="s">
        <v>114</v>
      </c>
      <c r="I21" s="153"/>
      <c r="J21" s="154"/>
      <c r="K21" s="154" t="s">
        <v>114</v>
      </c>
      <c r="L21" s="154" t="s">
        <v>114</v>
      </c>
      <c r="M21" s="155"/>
      <c r="N21" s="155"/>
      <c r="O21" s="155"/>
      <c r="P21" s="155" t="s">
        <v>114</v>
      </c>
      <c r="Q21" s="155"/>
    </row>
    <row r="22" spans="3:17" ht="12.75">
      <c r="C22" s="2"/>
      <c r="E22" s="109"/>
      <c r="F22" s="109"/>
      <c r="H22" s="153"/>
      <c r="I22" s="153"/>
      <c r="J22" s="154"/>
      <c r="K22" s="154"/>
      <c r="L22" s="154"/>
      <c r="M22" s="155"/>
      <c r="N22" s="155"/>
      <c r="O22" s="155"/>
      <c r="P22" s="155"/>
      <c r="Q22" s="155"/>
    </row>
    <row r="23" spans="1:17" ht="12.75">
      <c r="A23" t="s">
        <v>445</v>
      </c>
      <c r="C23" s="2"/>
      <c r="E23" s="109">
        <f>LCFS!A3*'Boston GHG'!M22</f>
        <v>0.00952897756852305</v>
      </c>
      <c r="F23" s="109"/>
      <c r="H23" s="153"/>
      <c r="I23" s="153" t="s">
        <v>114</v>
      </c>
      <c r="J23" s="154"/>
      <c r="K23" s="154" t="s">
        <v>114</v>
      </c>
      <c r="L23" s="154" t="s">
        <v>114</v>
      </c>
      <c r="M23" s="155"/>
      <c r="N23" s="155"/>
      <c r="O23" s="155"/>
      <c r="P23" s="155" t="s">
        <v>114</v>
      </c>
      <c r="Q23" s="155"/>
    </row>
    <row r="24" spans="1:17" ht="12.75">
      <c r="A24" t="s">
        <v>446</v>
      </c>
      <c r="C24" s="2"/>
      <c r="E24" s="109">
        <f>LCFS!A3*'Boston GHG'!M23</f>
        <v>0.002031778997469068</v>
      </c>
      <c r="F24" s="109"/>
      <c r="H24" s="153"/>
      <c r="I24" s="153"/>
      <c r="J24" s="154"/>
      <c r="K24" s="154"/>
      <c r="L24" s="154"/>
      <c r="M24" s="155"/>
      <c r="N24" s="155"/>
      <c r="O24" s="155"/>
      <c r="P24" s="155"/>
      <c r="Q24" s="155" t="s">
        <v>114</v>
      </c>
    </row>
    <row r="25" spans="3:17" ht="12.75">
      <c r="C25" s="2"/>
      <c r="E25" s="109"/>
      <c r="F25" s="109"/>
      <c r="H25" s="153"/>
      <c r="I25" s="153"/>
      <c r="J25" s="154"/>
      <c r="K25" s="154"/>
      <c r="L25" s="154"/>
      <c r="M25" s="155"/>
      <c r="N25" s="155"/>
      <c r="O25" s="155"/>
      <c r="P25" s="155"/>
      <c r="Q25" s="155"/>
    </row>
    <row r="26" spans="1:17" ht="12.75">
      <c r="A26" t="s">
        <v>46</v>
      </c>
      <c r="C26" s="2"/>
      <c r="E26" s="109"/>
      <c r="F26" s="109"/>
      <c r="H26" s="156"/>
      <c r="I26" s="153"/>
      <c r="J26" s="154"/>
      <c r="K26" s="154"/>
      <c r="L26" s="154"/>
      <c r="M26" s="155"/>
      <c r="N26" s="155"/>
      <c r="O26" s="155"/>
      <c r="P26" s="155"/>
      <c r="Q26" s="155"/>
    </row>
    <row r="27" spans="1:17" ht="12.75">
      <c r="A27" t="s">
        <v>47</v>
      </c>
      <c r="C27" s="2"/>
      <c r="E27" s="109">
        <f>+'VMT Reduction'!F5</f>
        <v>0.00195425048669695</v>
      </c>
      <c r="F27" s="109"/>
      <c r="G27" s="103"/>
      <c r="H27" s="156"/>
      <c r="I27" s="153" t="s">
        <v>114</v>
      </c>
      <c r="J27" s="154" t="s">
        <v>114</v>
      </c>
      <c r="K27" s="154"/>
      <c r="L27" s="154"/>
      <c r="M27" s="155"/>
      <c r="N27" s="155"/>
      <c r="O27" s="155"/>
      <c r="P27" s="155" t="s">
        <v>114</v>
      </c>
      <c r="Q27" s="155"/>
    </row>
    <row r="28" spans="1:17" ht="12.75">
      <c r="A28" t="s">
        <v>48</v>
      </c>
      <c r="C28" s="2"/>
      <c r="E28" s="109">
        <f>+'VMT Reduction'!F6</f>
        <v>0.004993510707332901</v>
      </c>
      <c r="F28" s="109"/>
      <c r="G28" s="162"/>
      <c r="H28" s="153"/>
      <c r="I28" s="153" t="s">
        <v>114</v>
      </c>
      <c r="J28" s="154" t="s">
        <v>114</v>
      </c>
      <c r="K28" s="154"/>
      <c r="L28" s="154"/>
      <c r="M28" s="155"/>
      <c r="N28" s="155"/>
      <c r="O28" s="155"/>
      <c r="P28" s="155" t="s">
        <v>114</v>
      </c>
      <c r="Q28" s="155"/>
    </row>
    <row r="29" spans="1:17" ht="12.75">
      <c r="A29" t="s">
        <v>49</v>
      </c>
      <c r="C29" s="2"/>
      <c r="E29" s="109">
        <f>+'VMT Reduction'!F7</f>
        <v>0.012052238805970153</v>
      </c>
      <c r="F29" s="103"/>
      <c r="H29" s="153"/>
      <c r="I29" s="153" t="s">
        <v>114</v>
      </c>
      <c r="J29" s="154" t="s">
        <v>114</v>
      </c>
      <c r="K29" s="154"/>
      <c r="L29" s="154"/>
      <c r="M29" s="155"/>
      <c r="N29" s="155"/>
      <c r="O29" s="155"/>
      <c r="P29" s="155" t="s">
        <v>114</v>
      </c>
      <c r="Q29" s="155"/>
    </row>
    <row r="30" spans="1:17" ht="12.75">
      <c r="A30" s="103" t="s">
        <v>365</v>
      </c>
      <c r="B30" s="103"/>
      <c r="C30" s="122"/>
      <c r="D30" s="103"/>
      <c r="E30" s="324">
        <f>+'Anti-idling'!F10/'Boston GHG'!K41</f>
        <v>0.0004125325279631622</v>
      </c>
      <c r="F30" s="109"/>
      <c r="H30" s="153"/>
      <c r="I30" s="153" t="s">
        <v>114</v>
      </c>
      <c r="J30" s="154" t="s">
        <v>114</v>
      </c>
      <c r="K30" s="154"/>
      <c r="L30" s="154"/>
      <c r="M30" s="155"/>
      <c r="N30" s="155"/>
      <c r="O30" s="155"/>
      <c r="P30" s="155" t="s">
        <v>114</v>
      </c>
      <c r="Q30" s="155" t="s">
        <v>114</v>
      </c>
    </row>
    <row r="31" spans="3:17" ht="12.75">
      <c r="C31" s="2"/>
      <c r="E31" s="1"/>
      <c r="F31" s="1"/>
      <c r="H31" s="153"/>
      <c r="I31" s="153"/>
      <c r="J31" s="154"/>
      <c r="K31" s="154"/>
      <c r="L31" s="154"/>
      <c r="M31" s="155"/>
      <c r="N31" s="155"/>
      <c r="O31" s="155"/>
      <c r="P31" s="155"/>
      <c r="Q31" s="155"/>
    </row>
    <row r="32" spans="1:17" ht="15.75">
      <c r="A32" s="6" t="s">
        <v>39</v>
      </c>
      <c r="B32" s="6">
        <f>34+182</f>
        <v>216</v>
      </c>
      <c r="C32" s="7">
        <v>0.025</v>
      </c>
      <c r="D32" s="172">
        <f>E32*B36</f>
        <v>57.96587978932176</v>
      </c>
      <c r="E32" s="5">
        <f>SUM(E33:E34)</f>
        <v>0.0067843960427576965</v>
      </c>
      <c r="F32" s="5"/>
      <c r="H32" s="153"/>
      <c r="I32" s="153"/>
      <c r="J32" s="154"/>
      <c r="K32" s="154"/>
      <c r="L32" s="154"/>
      <c r="M32" s="155"/>
      <c r="N32" s="155"/>
      <c r="O32" s="155"/>
      <c r="P32" s="155"/>
      <c r="Q32" s="155"/>
    </row>
    <row r="33" spans="1:17" ht="12.75">
      <c r="A33" t="s">
        <v>57</v>
      </c>
      <c r="C33" s="2"/>
      <c r="E33" s="109">
        <f>Waste!F18*'Boston GHG'!R21</f>
        <v>0.0018141649470703443</v>
      </c>
      <c r="F33" s="109"/>
      <c r="H33" s="153"/>
      <c r="I33" s="153" t="s">
        <v>114</v>
      </c>
      <c r="J33" s="154" t="s">
        <v>114</v>
      </c>
      <c r="K33" s="154"/>
      <c r="L33" s="154"/>
      <c r="M33" s="155" t="s">
        <v>114</v>
      </c>
      <c r="N33" s="155"/>
      <c r="O33" s="155"/>
      <c r="P33" s="155"/>
      <c r="Q33" s="155"/>
    </row>
    <row r="34" spans="1:17" ht="12.75">
      <c r="A34" t="s">
        <v>270</v>
      </c>
      <c r="C34" s="2"/>
      <c r="E34" s="1">
        <f>Waste!A59*'Boston GHG'!R22</f>
        <v>0.0049702310956873524</v>
      </c>
      <c r="F34" s="1"/>
      <c r="H34" s="134"/>
      <c r="I34" s="153" t="s">
        <v>114</v>
      </c>
      <c r="J34" s="154" t="s">
        <v>114</v>
      </c>
      <c r="K34" s="135"/>
      <c r="L34" s="135"/>
      <c r="M34" s="155" t="s">
        <v>114</v>
      </c>
      <c r="N34" s="136"/>
      <c r="O34" s="136"/>
      <c r="P34" s="136"/>
      <c r="Q34" s="136"/>
    </row>
    <row r="35" spans="3:6" ht="12.75">
      <c r="C35" s="2"/>
      <c r="E35" s="1"/>
      <c r="F35" s="1"/>
    </row>
    <row r="36" spans="1:10" ht="15.75">
      <c r="A36" s="6" t="s">
        <v>40</v>
      </c>
      <c r="B36" s="6">
        <f>SUM(B5,B20,B32)</f>
        <v>8544</v>
      </c>
      <c r="C36" s="7">
        <f>SUM(C5,C20,C32)</f>
        <v>1.001</v>
      </c>
      <c r="D36" s="171">
        <f>+E36*B36</f>
        <v>1993.2032942313872</v>
      </c>
      <c r="E36" s="217">
        <f>+E32+E20+E5</f>
        <v>0.23328690241472227</v>
      </c>
      <c r="F36" s="5"/>
      <c r="J36" t="s">
        <v>499</v>
      </c>
    </row>
    <row r="37" spans="3:10" ht="12.75">
      <c r="C37" s="2"/>
      <c r="E37" s="1"/>
      <c r="F37" s="1"/>
      <c r="J37" s="220" t="s">
        <v>377</v>
      </c>
    </row>
    <row r="39" ht="12.75">
      <c r="A39" t="s">
        <v>501</v>
      </c>
    </row>
    <row r="40" spans="3:6" ht="12.75">
      <c r="C40" s="2"/>
      <c r="E40" s="1"/>
      <c r="F40" s="1"/>
    </row>
    <row r="41" ht="12.75">
      <c r="A41" s="103"/>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T81"/>
  <sheetViews>
    <sheetView zoomScalePageLayoutView="0" workbookViewId="0" topLeftCell="A1">
      <selection activeCell="E4" sqref="E4:F7"/>
    </sheetView>
  </sheetViews>
  <sheetFormatPr defaultColWidth="9.140625" defaultRowHeight="12.75"/>
  <cols>
    <col min="1" max="1" width="12.8515625" style="0" customWidth="1"/>
    <col min="4" max="4" width="13.28125" style="0" customWidth="1"/>
    <col min="5" max="5" width="13.57421875" style="0" customWidth="1"/>
    <col min="10" max="10" width="12.421875" style="0" customWidth="1"/>
    <col min="11" max="11" width="16.00390625" style="0" customWidth="1"/>
    <col min="12" max="12" width="17.7109375" style="0" customWidth="1"/>
    <col min="13" max="13" width="17.00390625" style="0" customWidth="1"/>
    <col min="14" max="14" width="12.8515625" style="0" bestFit="1" customWidth="1"/>
    <col min="15" max="15" width="9.28125" style="0" bestFit="1" customWidth="1"/>
  </cols>
  <sheetData>
    <row r="1" ht="12.75">
      <c r="A1" t="s">
        <v>526</v>
      </c>
    </row>
    <row r="2" spans="4:6" ht="12.75">
      <c r="D2" t="s">
        <v>532</v>
      </c>
      <c r="E2" t="s">
        <v>533</v>
      </c>
      <c r="F2" t="s">
        <v>534</v>
      </c>
    </row>
    <row r="3" spans="1:4" ht="12.75">
      <c r="A3" t="s">
        <v>527</v>
      </c>
      <c r="D3">
        <v>3082</v>
      </c>
    </row>
    <row r="4" spans="1:6" ht="12.75">
      <c r="A4" t="s">
        <v>528</v>
      </c>
      <c r="D4">
        <f>+D3*0.1</f>
        <v>308.20000000000005</v>
      </c>
      <c r="E4" s="164">
        <f>+D4/D$3</f>
        <v>0.10000000000000002</v>
      </c>
      <c r="F4" s="164">
        <f>+E4*0.19</f>
        <v>0.019000000000000003</v>
      </c>
    </row>
    <row r="5" spans="1:6" ht="12.75">
      <c r="A5" t="s">
        <v>190</v>
      </c>
      <c r="D5" s="104">
        <f>+F22</f>
        <v>31.7</v>
      </c>
      <c r="E5" s="164">
        <f>+D5/D$3</f>
        <v>0.010285528877352368</v>
      </c>
      <c r="F5" s="164">
        <f>+E5*0.19</f>
        <v>0.00195425048669695</v>
      </c>
    </row>
    <row r="6" spans="1:6" ht="12.75">
      <c r="A6" t="s">
        <v>191</v>
      </c>
      <c r="D6">
        <f>+E49</f>
        <v>81</v>
      </c>
      <c r="E6" s="164">
        <f>+D6/D$3</f>
        <v>0.02628163530175211</v>
      </c>
      <c r="F6" s="164">
        <f>+E6*0.19</f>
        <v>0.004993510707332901</v>
      </c>
    </row>
    <row r="7" spans="1:6" ht="12.75">
      <c r="A7" t="s">
        <v>529</v>
      </c>
      <c r="D7" s="104">
        <f>+D4-D6-D5</f>
        <v>195.50000000000006</v>
      </c>
      <c r="E7" s="164">
        <f>+D7/D$3</f>
        <v>0.06343283582089554</v>
      </c>
      <c r="F7" s="164">
        <f>+E7*0.19</f>
        <v>0.012052238805970153</v>
      </c>
    </row>
    <row r="9" ht="12.75">
      <c r="A9" s="314" t="s">
        <v>530</v>
      </c>
    </row>
    <row r="10" ht="12.75">
      <c r="A10" s="314" t="s">
        <v>531</v>
      </c>
    </row>
    <row r="11" ht="12.75">
      <c r="A11" s="314" t="s">
        <v>535</v>
      </c>
    </row>
    <row r="13" spans="1:15" ht="15.75">
      <c r="A13" s="98" t="s">
        <v>138</v>
      </c>
      <c r="J13" s="384" t="s">
        <v>139</v>
      </c>
      <c r="K13" s="384"/>
      <c r="L13" s="384"/>
      <c r="M13" s="384"/>
      <c r="N13" s="384"/>
      <c r="O13" s="384"/>
    </row>
    <row r="14" spans="6:15" s="99" customFormat="1" ht="38.25">
      <c r="F14" s="313"/>
      <c r="G14" s="100"/>
      <c r="H14" s="100"/>
      <c r="J14" s="101"/>
      <c r="K14" s="101" t="s">
        <v>140</v>
      </c>
      <c r="L14" s="101" t="s">
        <v>141</v>
      </c>
      <c r="M14" s="101" t="s">
        <v>142</v>
      </c>
      <c r="N14" s="101" t="s">
        <v>143</v>
      </c>
      <c r="O14" s="102" t="s">
        <v>144</v>
      </c>
    </row>
    <row r="15" spans="6:20" ht="12.75">
      <c r="F15" s="103"/>
      <c r="G15" s="103"/>
      <c r="H15" s="103"/>
      <c r="J15">
        <v>2008</v>
      </c>
      <c r="K15" s="104">
        <f>1.55</f>
        <v>1.55</v>
      </c>
      <c r="L15" s="105">
        <v>21000</v>
      </c>
      <c r="M15" s="105">
        <f>L15*365</f>
        <v>7665000</v>
      </c>
      <c r="N15" s="105">
        <f>0.15*M15</f>
        <v>1149750</v>
      </c>
      <c r="O15" s="106">
        <f aca="true" t="shared" si="0" ref="O15:O27">N15/1000000</f>
        <v>1.14975</v>
      </c>
      <c r="R15" s="168"/>
      <c r="S15" s="103"/>
      <c r="T15" s="103"/>
    </row>
    <row r="16" spans="1:20" ht="12.75">
      <c r="A16" t="s">
        <v>145</v>
      </c>
      <c r="E16" s="104"/>
      <c r="F16" s="107">
        <v>3.3</v>
      </c>
      <c r="G16" s="107"/>
      <c r="H16" s="103"/>
      <c r="J16">
        <f>1+J15</f>
        <v>2009</v>
      </c>
      <c r="K16" s="104">
        <f>1.25*K15</f>
        <v>1.9375</v>
      </c>
      <c r="L16" s="105">
        <f>K16*$L$15</f>
        <v>40687.5</v>
      </c>
      <c r="M16" s="105">
        <f aca="true" t="shared" si="1" ref="M16:M27">L16*365</f>
        <v>14850937.5</v>
      </c>
      <c r="N16" s="105">
        <f aca="true" t="shared" si="2" ref="N16:N27">0.15*M16</f>
        <v>2227640.625</v>
      </c>
      <c r="O16" s="106">
        <f t="shared" si="0"/>
        <v>2.227640625</v>
      </c>
      <c r="R16" s="103"/>
      <c r="S16" s="103"/>
      <c r="T16" s="103"/>
    </row>
    <row r="17" spans="5:20" ht="12.75">
      <c r="E17" s="104"/>
      <c r="F17" s="107"/>
      <c r="G17" s="107"/>
      <c r="H17" s="103"/>
      <c r="J17">
        <f aca="true" t="shared" si="3" ref="J17:J27">1+J16</f>
        <v>2010</v>
      </c>
      <c r="K17" s="104">
        <f aca="true" t="shared" si="4" ref="K17:K27">1.25*K16</f>
        <v>2.421875</v>
      </c>
      <c r="L17" s="105">
        <f aca="true" t="shared" si="5" ref="L17:L27">K17*$L$15</f>
        <v>50859.375</v>
      </c>
      <c r="M17" s="105">
        <f t="shared" si="1"/>
        <v>18563671.875</v>
      </c>
      <c r="N17" s="105">
        <f t="shared" si="2"/>
        <v>2784550.78125</v>
      </c>
      <c r="O17" s="106">
        <f t="shared" si="0"/>
        <v>2.78455078125</v>
      </c>
      <c r="R17" s="103"/>
      <c r="S17" s="103"/>
      <c r="T17" s="103"/>
    </row>
    <row r="18" spans="1:20" ht="12.75">
      <c r="A18" t="s">
        <v>146</v>
      </c>
      <c r="E18" s="104"/>
      <c r="F18" s="107">
        <v>2</v>
      </c>
      <c r="G18" s="107"/>
      <c r="H18" s="103"/>
      <c r="J18">
        <f t="shared" si="3"/>
        <v>2011</v>
      </c>
      <c r="K18" s="104">
        <f t="shared" si="4"/>
        <v>3.02734375</v>
      </c>
      <c r="L18" s="105">
        <f t="shared" si="5"/>
        <v>63574.21875</v>
      </c>
      <c r="M18" s="105">
        <f t="shared" si="1"/>
        <v>23204589.84375</v>
      </c>
      <c r="N18" s="105">
        <f t="shared" si="2"/>
        <v>3480688.4765625</v>
      </c>
      <c r="O18" s="106">
        <f t="shared" si="0"/>
        <v>3.4806884765625</v>
      </c>
      <c r="R18" s="103"/>
      <c r="S18" s="103"/>
      <c r="T18" s="103"/>
    </row>
    <row r="19" spans="5:20" ht="12.75">
      <c r="E19" s="104"/>
      <c r="F19" s="103"/>
      <c r="G19" s="103"/>
      <c r="H19" s="103"/>
      <c r="J19">
        <f t="shared" si="3"/>
        <v>2012</v>
      </c>
      <c r="K19" s="104">
        <f t="shared" si="4"/>
        <v>3.7841796875</v>
      </c>
      <c r="L19" s="105">
        <f t="shared" si="5"/>
        <v>79467.7734375</v>
      </c>
      <c r="M19" s="105">
        <f t="shared" si="1"/>
        <v>29005737.3046875</v>
      </c>
      <c r="N19" s="105">
        <f t="shared" si="2"/>
        <v>4350860.595703125</v>
      </c>
      <c r="O19" s="106">
        <f t="shared" si="0"/>
        <v>4.350860595703125</v>
      </c>
      <c r="R19" s="103"/>
      <c r="S19" s="103"/>
      <c r="T19" s="103"/>
    </row>
    <row r="20" spans="1:20" ht="12.75">
      <c r="A20" t="s">
        <v>147</v>
      </c>
      <c r="E20" s="104"/>
      <c r="F20" s="107">
        <v>26.4</v>
      </c>
      <c r="G20" s="108"/>
      <c r="H20" s="103"/>
      <c r="I20" s="103"/>
      <c r="J20">
        <f t="shared" si="3"/>
        <v>2013</v>
      </c>
      <c r="K20" s="104">
        <f t="shared" si="4"/>
        <v>4.730224609375</v>
      </c>
      <c r="L20" s="105">
        <f t="shared" si="5"/>
        <v>99334.716796875</v>
      </c>
      <c r="M20" s="105">
        <f t="shared" si="1"/>
        <v>36257171.630859375</v>
      </c>
      <c r="N20" s="105">
        <f t="shared" si="2"/>
        <v>5438575.744628906</v>
      </c>
      <c r="O20" s="106">
        <f t="shared" si="0"/>
        <v>5.438575744628906</v>
      </c>
      <c r="R20" s="103"/>
      <c r="S20" s="103"/>
      <c r="T20" s="103"/>
    </row>
    <row r="21" spans="5:20" ht="12.75">
      <c r="E21" s="104"/>
      <c r="F21" s="103"/>
      <c r="G21" s="103"/>
      <c r="H21" s="103"/>
      <c r="J21">
        <f t="shared" si="3"/>
        <v>2014</v>
      </c>
      <c r="K21" s="104">
        <f t="shared" si="4"/>
        <v>5.91278076171875</v>
      </c>
      <c r="L21" s="105">
        <f t="shared" si="5"/>
        <v>124168.39599609375</v>
      </c>
      <c r="M21" s="105">
        <f t="shared" si="1"/>
        <v>45321464.53857422</v>
      </c>
      <c r="N21" s="105">
        <f t="shared" si="2"/>
        <v>6798219.680786133</v>
      </c>
      <c r="O21" s="106">
        <f t="shared" si="0"/>
        <v>6.798219680786133</v>
      </c>
      <c r="R21" s="103"/>
      <c r="S21" s="103"/>
      <c r="T21" s="103"/>
    </row>
    <row r="22" spans="1:20" ht="12.75">
      <c r="A22" t="s">
        <v>148</v>
      </c>
      <c r="E22" s="104"/>
      <c r="F22" s="107">
        <f>SUM(F16:F20)</f>
        <v>31.7</v>
      </c>
      <c r="G22" s="103"/>
      <c r="H22" s="103"/>
      <c r="J22">
        <f t="shared" si="3"/>
        <v>2015</v>
      </c>
      <c r="K22" s="104">
        <f t="shared" si="4"/>
        <v>7.3909759521484375</v>
      </c>
      <c r="L22" s="105">
        <f t="shared" si="5"/>
        <v>155210.4949951172</v>
      </c>
      <c r="M22" s="105">
        <f t="shared" si="1"/>
        <v>56651830.67321777</v>
      </c>
      <c r="N22" s="105">
        <f t="shared" si="2"/>
        <v>8497774.600982666</v>
      </c>
      <c r="O22" s="106">
        <f>N22/1000000</f>
        <v>8.497774600982666</v>
      </c>
      <c r="R22" s="103"/>
      <c r="S22" s="103"/>
      <c r="T22" s="103"/>
    </row>
    <row r="23" spans="6:20" ht="12.75">
      <c r="F23" s="103"/>
      <c r="G23" s="103"/>
      <c r="H23" s="103"/>
      <c r="J23">
        <f t="shared" si="3"/>
        <v>2016</v>
      </c>
      <c r="K23" s="104">
        <f t="shared" si="4"/>
        <v>9.238719940185547</v>
      </c>
      <c r="L23" s="105">
        <f t="shared" si="5"/>
        <v>194013.11874389648</v>
      </c>
      <c r="M23" s="105">
        <f t="shared" si="1"/>
        <v>70814788.34152222</v>
      </c>
      <c r="N23" s="105">
        <f t="shared" si="2"/>
        <v>10622218.251228333</v>
      </c>
      <c r="O23" s="106">
        <f t="shared" si="0"/>
        <v>10.622218251228333</v>
      </c>
      <c r="R23" s="103"/>
      <c r="S23" s="103"/>
      <c r="T23" s="103"/>
    </row>
    <row r="24" spans="1:15" ht="12.75">
      <c r="A24" t="s">
        <v>149</v>
      </c>
      <c r="F24" s="103">
        <v>3082</v>
      </c>
      <c r="G24" s="103"/>
      <c r="H24" s="103"/>
      <c r="J24">
        <f t="shared" si="3"/>
        <v>2017</v>
      </c>
      <c r="K24" s="104">
        <f t="shared" si="4"/>
        <v>11.548399925231934</v>
      </c>
      <c r="L24" s="105">
        <f t="shared" si="5"/>
        <v>242516.3984298706</v>
      </c>
      <c r="M24" s="105">
        <f t="shared" si="1"/>
        <v>88518485.42690277</v>
      </c>
      <c r="N24" s="105">
        <f t="shared" si="2"/>
        <v>13277772.814035416</v>
      </c>
      <c r="O24" s="106">
        <f t="shared" si="0"/>
        <v>13.277772814035416</v>
      </c>
    </row>
    <row r="25" spans="6:15" ht="12.75">
      <c r="F25" s="103"/>
      <c r="G25" s="103"/>
      <c r="H25" s="103"/>
      <c r="J25">
        <f t="shared" si="3"/>
        <v>2018</v>
      </c>
      <c r="K25" s="104">
        <f t="shared" si="4"/>
        <v>14.435499906539917</v>
      </c>
      <c r="L25" s="105">
        <f t="shared" si="5"/>
        <v>303145.49803733826</v>
      </c>
      <c r="M25" s="105">
        <f t="shared" si="1"/>
        <v>110648106.78362846</v>
      </c>
      <c r="N25" s="105">
        <f t="shared" si="2"/>
        <v>16597216.01754427</v>
      </c>
      <c r="O25" s="106">
        <f t="shared" si="0"/>
        <v>16.59721601754427</v>
      </c>
    </row>
    <row r="26" spans="1:15" ht="12.75">
      <c r="A26" s="147" t="s">
        <v>150</v>
      </c>
      <c r="B26" s="147"/>
      <c r="C26" s="147"/>
      <c r="D26" s="147"/>
      <c r="E26" s="159"/>
      <c r="F26" s="161">
        <f>F22/F24</f>
        <v>0.010285528877352368</v>
      </c>
      <c r="G26" s="109"/>
      <c r="H26" s="103"/>
      <c r="J26">
        <f t="shared" si="3"/>
        <v>2019</v>
      </c>
      <c r="K26" s="104">
        <f t="shared" si="4"/>
        <v>18.044374883174896</v>
      </c>
      <c r="L26" s="105">
        <f t="shared" si="5"/>
        <v>378931.8725466728</v>
      </c>
      <c r="M26" s="105">
        <f t="shared" si="1"/>
        <v>138310133.47953558</v>
      </c>
      <c r="N26" s="105">
        <f t="shared" si="2"/>
        <v>20746520.021930337</v>
      </c>
      <c r="O26" s="106">
        <f t="shared" si="0"/>
        <v>20.746520021930337</v>
      </c>
    </row>
    <row r="27" spans="5:15" ht="12.75">
      <c r="E27" s="1"/>
      <c r="F27" s="109"/>
      <c r="G27" s="109"/>
      <c r="H27" s="103"/>
      <c r="J27">
        <f t="shared" si="3"/>
        <v>2020</v>
      </c>
      <c r="K27" s="104">
        <f t="shared" si="4"/>
        <v>22.55546860396862</v>
      </c>
      <c r="L27" s="105">
        <f t="shared" si="5"/>
        <v>473664.840683341</v>
      </c>
      <c r="M27" s="105">
        <f t="shared" si="1"/>
        <v>172887666.84941947</v>
      </c>
      <c r="N27" s="105">
        <f t="shared" si="2"/>
        <v>25933150.02741292</v>
      </c>
      <c r="O27" s="106">
        <f t="shared" si="0"/>
        <v>25.93315002741292</v>
      </c>
    </row>
    <row r="28" spans="1:15" ht="12.75">
      <c r="A28" t="s">
        <v>151</v>
      </c>
      <c r="E28" s="1"/>
      <c r="F28" s="109">
        <f>F26*0.19</f>
        <v>0.00195425048669695</v>
      </c>
      <c r="G28" s="109"/>
      <c r="H28" s="103"/>
      <c r="J28" s="110" t="s">
        <v>152</v>
      </c>
      <c r="K28" s="110"/>
      <c r="L28" s="110"/>
      <c r="M28" s="110"/>
      <c r="N28" s="110"/>
      <c r="O28" s="110"/>
    </row>
    <row r="29" spans="10:15" ht="12.75">
      <c r="J29" s="110" t="s">
        <v>153</v>
      </c>
      <c r="K29" s="110"/>
      <c r="L29" s="110"/>
      <c r="M29" s="110"/>
      <c r="N29" s="110"/>
      <c r="O29" s="110"/>
    </row>
    <row r="30" spans="1:15" s="43" customFormat="1" ht="25.5">
      <c r="A30" s="163" t="s">
        <v>131</v>
      </c>
      <c r="J30" s="111" t="s">
        <v>154</v>
      </c>
      <c r="K30" s="111" t="s">
        <v>155</v>
      </c>
      <c r="L30" s="111" t="s">
        <v>156</v>
      </c>
      <c r="M30" s="111" t="s">
        <v>157</v>
      </c>
      <c r="N30" s="111" t="s">
        <v>158</v>
      </c>
      <c r="O30" s="111" t="s">
        <v>159</v>
      </c>
    </row>
    <row r="31" spans="1:16" ht="12.75">
      <c r="A31" t="s">
        <v>160</v>
      </c>
      <c r="J31" s="112">
        <v>35.03701007159325</v>
      </c>
      <c r="K31" s="112">
        <v>6.640349640490625</v>
      </c>
      <c r="L31" s="112">
        <v>27.318602339628416</v>
      </c>
      <c r="M31" s="112">
        <v>15.016561276723879</v>
      </c>
      <c r="N31" s="112">
        <v>11.339021517423653</v>
      </c>
      <c r="O31" s="112">
        <v>4.970760233918128</v>
      </c>
      <c r="P31" s="113"/>
    </row>
    <row r="32" spans="1:15" ht="12.75">
      <c r="A32" t="s">
        <v>161</v>
      </c>
      <c r="J32" s="385" t="s">
        <v>162</v>
      </c>
      <c r="K32" s="385"/>
      <c r="L32" s="113" t="s">
        <v>163</v>
      </c>
      <c r="M32" s="113"/>
      <c r="N32" s="113"/>
      <c r="O32" s="113"/>
    </row>
    <row r="33" spans="1:12" ht="12.75">
      <c r="A33" s="85" t="s">
        <v>164</v>
      </c>
      <c r="B33" s="85"/>
      <c r="C33" s="85"/>
      <c r="D33" s="85"/>
      <c r="E33" s="85"/>
      <c r="F33" s="85"/>
      <c r="G33" s="85"/>
      <c r="H33" s="85"/>
      <c r="I33" s="85"/>
      <c r="J33" s="110" t="s">
        <v>165</v>
      </c>
      <c r="K33" s="110"/>
      <c r="L33" s="110"/>
    </row>
    <row r="34" spans="1:15" ht="12.75">
      <c r="A34" t="s">
        <v>166</v>
      </c>
      <c r="J34" t="s">
        <v>154</v>
      </c>
      <c r="K34" t="s">
        <v>155</v>
      </c>
      <c r="L34" t="s">
        <v>156</v>
      </c>
      <c r="M34" t="s">
        <v>157</v>
      </c>
      <c r="N34" t="s">
        <v>158</v>
      </c>
      <c r="O34" t="s">
        <v>159</v>
      </c>
    </row>
    <row r="35" spans="1:16" ht="12.75">
      <c r="A35" t="s">
        <v>167</v>
      </c>
      <c r="J35" s="114">
        <v>47.99590420766199</v>
      </c>
      <c r="K35" s="114">
        <v>9.096369370535102</v>
      </c>
      <c r="L35" s="114">
        <v>0</v>
      </c>
      <c r="M35" s="114">
        <v>20.57063188592312</v>
      </c>
      <c r="N35" s="114">
        <v>15.532906188251578</v>
      </c>
      <c r="O35" s="114">
        <v>6.809260594408395</v>
      </c>
      <c r="P35" s="113"/>
    </row>
    <row r="36" spans="10:15" ht="12.75">
      <c r="J36" s="385" t="s">
        <v>168</v>
      </c>
      <c r="K36" s="385"/>
      <c r="L36" s="113" t="s">
        <v>169</v>
      </c>
      <c r="M36" s="113"/>
      <c r="N36" s="113"/>
      <c r="O36" s="113"/>
    </row>
    <row r="38" spans="10:13" ht="12.75">
      <c r="J38" s="110" t="s">
        <v>170</v>
      </c>
      <c r="K38" s="110"/>
      <c r="L38" s="110"/>
      <c r="M38" s="110"/>
    </row>
    <row r="40" ht="15.75">
      <c r="A40" s="98" t="s">
        <v>171</v>
      </c>
    </row>
    <row r="41" spans="10:11" ht="12.75">
      <c r="J41" s="168"/>
      <c r="K41" s="103"/>
    </row>
    <row r="42" spans="1:11" ht="12.75">
      <c r="A42" t="s">
        <v>172</v>
      </c>
      <c r="E42">
        <v>18000</v>
      </c>
      <c r="J42" s="103"/>
      <c r="K42" s="103"/>
    </row>
    <row r="43" spans="10:11" ht="12.75">
      <c r="J43" s="103"/>
      <c r="K43" s="103"/>
    </row>
    <row r="44" spans="1:11" ht="12.75">
      <c r="A44" t="s">
        <v>173</v>
      </c>
      <c r="E44">
        <v>2500</v>
      </c>
      <c r="J44" s="103"/>
      <c r="K44" s="103"/>
    </row>
    <row r="45" spans="1:11" ht="12.75">
      <c r="A45" s="115" t="s">
        <v>174</v>
      </c>
      <c r="B45" s="85"/>
      <c r="C45" s="85"/>
      <c r="D45" s="85"/>
      <c r="E45">
        <f>+E44*0.6</f>
        <v>1500</v>
      </c>
      <c r="J45" s="103"/>
      <c r="K45" s="103"/>
    </row>
    <row r="46" spans="1:11" ht="12.75">
      <c r="A46" s="116"/>
      <c r="J46" s="103"/>
      <c r="K46" s="103"/>
    </row>
    <row r="47" spans="1:11" ht="12.75">
      <c r="A47" t="s">
        <v>175</v>
      </c>
      <c r="E47">
        <f>(+E45*E42)/1000000</f>
        <v>27</v>
      </c>
      <c r="J47" s="103"/>
      <c r="K47" s="103"/>
    </row>
    <row r="48" spans="10:11" ht="12.75">
      <c r="J48" s="103"/>
      <c r="K48" s="103"/>
    </row>
    <row r="49" spans="1:11" ht="12.75">
      <c r="A49" t="s">
        <v>176</v>
      </c>
      <c r="E49">
        <f>+E47*3</f>
        <v>81</v>
      </c>
      <c r="J49" s="103"/>
      <c r="K49" s="103"/>
    </row>
    <row r="51" spans="1:9" ht="12.75">
      <c r="A51" s="147" t="s">
        <v>177</v>
      </c>
      <c r="B51" s="147"/>
      <c r="C51" s="147"/>
      <c r="D51" s="147"/>
      <c r="E51" s="159">
        <f>+E49/F24</f>
        <v>0.02628163530175211</v>
      </c>
      <c r="F51" s="103"/>
      <c r="G51" s="103"/>
      <c r="H51" s="103"/>
      <c r="I51" s="103"/>
    </row>
    <row r="52" ht="12.75">
      <c r="E52" s="1"/>
    </row>
    <row r="53" spans="1:5" ht="12.75">
      <c r="A53" t="s">
        <v>178</v>
      </c>
      <c r="E53" s="1">
        <f>+E51*0.19</f>
        <v>0.004993510707332901</v>
      </c>
    </row>
    <row r="55" ht="12.75">
      <c r="A55" s="4" t="s">
        <v>131</v>
      </c>
    </row>
    <row r="56" ht="12.75">
      <c r="A56" t="s">
        <v>179</v>
      </c>
    </row>
    <row r="57" ht="12.75">
      <c r="A57" t="s">
        <v>180</v>
      </c>
    </row>
    <row r="61" ht="15.75">
      <c r="A61" s="98" t="s">
        <v>181</v>
      </c>
    </row>
    <row r="63" spans="1:5" ht="12.75">
      <c r="A63" t="s">
        <v>182</v>
      </c>
      <c r="E63">
        <v>3082</v>
      </c>
    </row>
    <row r="64" spans="12:13" ht="12.75">
      <c r="L64" s="168"/>
      <c r="M64" s="103"/>
    </row>
    <row r="65" spans="1:13" ht="12.75">
      <c r="A65" t="s">
        <v>183</v>
      </c>
      <c r="E65" s="1">
        <f>+E51+E26</f>
        <v>0.02628163530175211</v>
      </c>
      <c r="F65" s="1">
        <f>+E51+F26</f>
        <v>0.03656716417910448</v>
      </c>
      <c r="L65" s="103"/>
      <c r="M65" s="103"/>
    </row>
    <row r="66" spans="12:13" ht="12.75">
      <c r="L66" s="103"/>
      <c r="M66" s="103"/>
    </row>
    <row r="67" spans="1:13" ht="12.75">
      <c r="A67" s="115" t="s">
        <v>184</v>
      </c>
      <c r="B67" s="85"/>
      <c r="C67" s="85"/>
      <c r="D67" s="85"/>
      <c r="E67" s="97">
        <f>+E65</f>
        <v>0.02628163530175211</v>
      </c>
      <c r="F67" s="1">
        <f>+F65</f>
        <v>0.03656716417910448</v>
      </c>
      <c r="G67" t="s">
        <v>185</v>
      </c>
      <c r="L67" s="103"/>
      <c r="M67" s="103"/>
    </row>
    <row r="68" spans="5:13" ht="12.75">
      <c r="E68" s="1"/>
      <c r="L68" s="103"/>
      <c r="M68" s="103"/>
    </row>
    <row r="69" spans="1:13" ht="12.75">
      <c r="A69" t="s">
        <v>186</v>
      </c>
      <c r="E69" s="1">
        <f>+E67*0.23</f>
        <v>0.006044776119402986</v>
      </c>
      <c r="F69" s="1">
        <f>+F67*0.23</f>
        <v>0.008410447761194031</v>
      </c>
      <c r="L69" s="103"/>
      <c r="M69" s="103"/>
    </row>
    <row r="70" spans="12:13" ht="12.75">
      <c r="L70" s="103"/>
      <c r="M70" s="103"/>
    </row>
    <row r="71" spans="12:13" ht="12.75">
      <c r="L71" s="103"/>
      <c r="M71" s="103"/>
    </row>
    <row r="72" spans="5:13" ht="12.75">
      <c r="E72" s="117"/>
      <c r="L72" s="103"/>
      <c r="M72" s="103"/>
    </row>
    <row r="73" spans="1:6" ht="15.75">
      <c r="A73" s="98" t="s">
        <v>187</v>
      </c>
      <c r="E73" t="s">
        <v>144</v>
      </c>
      <c r="F73" t="s">
        <v>188</v>
      </c>
    </row>
    <row r="74" spans="5:7" ht="12.75">
      <c r="E74" s="118" t="s">
        <v>189</v>
      </c>
      <c r="F74" s="118" t="s">
        <v>189</v>
      </c>
      <c r="G74" s="167" t="s">
        <v>325</v>
      </c>
    </row>
    <row r="75" spans="1:7" ht="12.75">
      <c r="A75" t="s">
        <v>190</v>
      </c>
      <c r="E75" s="1">
        <f>+E26</f>
        <v>0</v>
      </c>
      <c r="F75" s="1">
        <f>+E28</f>
        <v>0</v>
      </c>
      <c r="G75" s="1">
        <f>F26</f>
        <v>0.010285528877352368</v>
      </c>
    </row>
    <row r="76" spans="1:7" ht="12.75">
      <c r="A76" t="s">
        <v>191</v>
      </c>
      <c r="E76" s="1">
        <f>+E51</f>
        <v>0.02628163530175211</v>
      </c>
      <c r="F76" s="1">
        <f>+E53</f>
        <v>0.004993510707332901</v>
      </c>
      <c r="G76" s="1">
        <f>E51</f>
        <v>0.02628163530175211</v>
      </c>
    </row>
    <row r="77" spans="1:7" ht="12.75">
      <c r="A77" s="147" t="s">
        <v>192</v>
      </c>
      <c r="B77" s="85"/>
      <c r="C77" s="85"/>
      <c r="D77" s="85"/>
      <c r="E77" s="159">
        <f>+E67</f>
        <v>0.02628163530175211</v>
      </c>
      <c r="F77" s="97">
        <f>+E69</f>
        <v>0.006044776119402986</v>
      </c>
      <c r="G77" s="97">
        <f>F67</f>
        <v>0.03656716417910448</v>
      </c>
    </row>
    <row r="79" spans="1:7" ht="12.75">
      <c r="A79" t="s">
        <v>193</v>
      </c>
      <c r="E79" s="1">
        <f>SUM(E75:E77)</f>
        <v>0.05256327060350422</v>
      </c>
      <c r="F79" s="1">
        <f>SUM(F75:F77)</f>
        <v>0.011038286826735886</v>
      </c>
      <c r="G79" s="1">
        <f>SUM(G75:G77)</f>
        <v>0.07313432835820896</v>
      </c>
    </row>
    <row r="81" ht="12.75">
      <c r="A81" s="116" t="s">
        <v>194</v>
      </c>
    </row>
  </sheetData>
  <sheetProtection/>
  <mergeCells count="3">
    <mergeCell ref="J13:O13"/>
    <mergeCell ref="J32:K32"/>
    <mergeCell ref="J36:K36"/>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20"/>
  <sheetViews>
    <sheetView zoomScalePageLayoutView="0" workbookViewId="0" topLeftCell="A1">
      <selection activeCell="A12" sqref="A12:C20"/>
    </sheetView>
  </sheetViews>
  <sheetFormatPr defaultColWidth="9.140625" defaultRowHeight="12.75"/>
  <sheetData>
    <row r="1" ht="15.75">
      <c r="A1" s="98" t="s">
        <v>226</v>
      </c>
    </row>
    <row r="3" ht="12.75">
      <c r="A3" s="4" t="s">
        <v>303</v>
      </c>
    </row>
    <row r="4" ht="12.75">
      <c r="A4" t="s">
        <v>302</v>
      </c>
    </row>
    <row r="6" spans="1:2" ht="12.75">
      <c r="A6" t="s">
        <v>227</v>
      </c>
      <c r="B6" t="s">
        <v>228</v>
      </c>
    </row>
    <row r="7" spans="1:2" ht="12.75">
      <c r="A7" s="147">
        <v>2020</v>
      </c>
      <c r="B7" s="148">
        <v>0.18</v>
      </c>
    </row>
    <row r="9" ht="12.75">
      <c r="A9" s="4" t="s">
        <v>262</v>
      </c>
    </row>
    <row r="10" ht="12.75">
      <c r="A10" t="s">
        <v>304</v>
      </c>
    </row>
    <row r="12" spans="1:3" ht="12.75">
      <c r="A12" s="168"/>
      <c r="B12" s="103"/>
      <c r="C12" s="103"/>
    </row>
    <row r="13" spans="1:3" ht="12.75">
      <c r="A13" s="103"/>
      <c r="B13" s="103"/>
      <c r="C13" s="103"/>
    </row>
    <row r="14" spans="1:3" ht="12.75">
      <c r="A14" s="103"/>
      <c r="B14" s="103"/>
      <c r="C14" s="103"/>
    </row>
    <row r="15" spans="1:3" ht="12.75">
      <c r="A15" s="103"/>
      <c r="B15" s="103"/>
      <c r="C15" s="103"/>
    </row>
    <row r="16" spans="1:3" ht="12.75">
      <c r="A16" s="103"/>
      <c r="B16" s="103"/>
      <c r="C16" s="103"/>
    </row>
    <row r="17" spans="1:3" ht="12.75">
      <c r="A17" s="103"/>
      <c r="B17" s="103"/>
      <c r="C17" s="103"/>
    </row>
    <row r="18" spans="1:3" ht="12.75">
      <c r="A18" s="103"/>
      <c r="B18" s="103"/>
      <c r="C18" s="103"/>
    </row>
    <row r="19" spans="1:3" ht="12.75">
      <c r="A19" s="103"/>
      <c r="B19" s="103"/>
      <c r="C19" s="103"/>
    </row>
    <row r="20" spans="1:3" ht="12.75">
      <c r="A20" s="103"/>
      <c r="B20" s="103"/>
      <c r="C20" s="103"/>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N75"/>
  <sheetViews>
    <sheetView zoomScalePageLayoutView="0" workbookViewId="0" topLeftCell="A1">
      <selection activeCell="O22" sqref="O22"/>
    </sheetView>
  </sheetViews>
  <sheetFormatPr defaultColWidth="9.140625" defaultRowHeight="12.75"/>
  <cols>
    <col min="1" max="1" width="18.57421875" style="0" customWidth="1"/>
    <col min="2" max="2" width="9.57421875" style="0" bestFit="1" customWidth="1"/>
    <col min="5" max="5" width="10.8515625" style="0" customWidth="1"/>
  </cols>
  <sheetData>
    <row r="1" ht="15.75">
      <c r="A1" s="98" t="s">
        <v>231</v>
      </c>
    </row>
    <row r="4" ht="12.75">
      <c r="A4" s="4" t="s">
        <v>232</v>
      </c>
    </row>
    <row r="5" spans="1:2" ht="12.75">
      <c r="A5" t="s">
        <v>233</v>
      </c>
      <c r="B5" s="105">
        <v>254964</v>
      </c>
    </row>
    <row r="6" spans="1:2" ht="12.75">
      <c r="A6" t="s">
        <v>234</v>
      </c>
      <c r="B6" s="105">
        <f>B5-B10</f>
        <v>221148</v>
      </c>
    </row>
    <row r="7" spans="1:2" ht="12.75">
      <c r="A7" t="s">
        <v>235</v>
      </c>
      <c r="B7" s="105">
        <v>25780</v>
      </c>
    </row>
    <row r="8" spans="1:2" ht="12.75">
      <c r="A8" t="s">
        <v>236</v>
      </c>
      <c r="B8" s="105">
        <v>7286</v>
      </c>
    </row>
    <row r="9" spans="1:2" ht="12.75">
      <c r="A9" t="s">
        <v>237</v>
      </c>
      <c r="B9" s="105">
        <v>750</v>
      </c>
    </row>
    <row r="10" spans="1:2" ht="12.75">
      <c r="A10" t="s">
        <v>238</v>
      </c>
      <c r="B10" s="105">
        <f>SUM(B7:B9)</f>
        <v>33816</v>
      </c>
    </row>
    <row r="12" spans="1:2" ht="12.75">
      <c r="A12" t="s">
        <v>239</v>
      </c>
      <c r="B12" s="146">
        <f>B10/B5</f>
        <v>0.1326304890102132</v>
      </c>
    </row>
    <row r="13" ht="12.75">
      <c r="B13" s="146"/>
    </row>
    <row r="15" spans="1:14" ht="12.75">
      <c r="A15" s="4" t="s">
        <v>240</v>
      </c>
      <c r="B15" s="2"/>
      <c r="E15" s="4" t="s">
        <v>241</v>
      </c>
      <c r="L15" s="168"/>
      <c r="M15" s="103"/>
      <c r="N15" s="103"/>
    </row>
    <row r="16" spans="1:14" ht="12.75">
      <c r="A16" t="s">
        <v>242</v>
      </c>
      <c r="B16" s="2">
        <v>0.25</v>
      </c>
      <c r="E16" t="s">
        <v>243</v>
      </c>
      <c r="F16" s="2">
        <f>B20</f>
        <v>0.25</v>
      </c>
      <c r="L16" s="103"/>
      <c r="M16" s="103"/>
      <c r="N16" s="103"/>
    </row>
    <row r="17" spans="1:14" ht="12.75">
      <c r="A17" t="s">
        <v>239</v>
      </c>
      <c r="B17" s="2">
        <f>B12+B16</f>
        <v>0.38263048901021324</v>
      </c>
      <c r="E17" t="s">
        <v>244</v>
      </c>
      <c r="F17" s="2">
        <f>B28</f>
        <v>0.09</v>
      </c>
      <c r="L17" s="103"/>
      <c r="M17" s="103"/>
      <c r="N17" s="103"/>
    </row>
    <row r="18" spans="1:14" ht="12.75">
      <c r="A18" t="s">
        <v>245</v>
      </c>
      <c r="B18" s="113">
        <f>B6-(B6*0.2)</f>
        <v>176918.4</v>
      </c>
      <c r="E18" s="147" t="s">
        <v>246</v>
      </c>
      <c r="F18" s="148">
        <f>SUM(F16:F17)</f>
        <v>0.33999999999999997</v>
      </c>
      <c r="G18" t="s">
        <v>247</v>
      </c>
      <c r="L18" s="103"/>
      <c r="M18" s="103"/>
      <c r="N18" s="103"/>
    </row>
    <row r="19" spans="1:14" ht="12.75">
      <c r="A19" t="s">
        <v>248</v>
      </c>
      <c r="B19" s="2">
        <v>0.2</v>
      </c>
      <c r="L19" s="103"/>
      <c r="M19" s="103"/>
      <c r="N19" s="103"/>
    </row>
    <row r="20" spans="1:14" ht="12.75">
      <c r="A20" s="147" t="s">
        <v>249</v>
      </c>
      <c r="B20" s="148">
        <v>0.25</v>
      </c>
      <c r="L20" s="103"/>
      <c r="M20" s="103"/>
      <c r="N20" s="103"/>
    </row>
    <row r="21" spans="5:14" ht="15.75">
      <c r="E21" s="105">
        <v>46050</v>
      </c>
      <c r="F21" t="s">
        <v>250</v>
      </c>
      <c r="L21" s="103"/>
      <c r="M21" s="103"/>
      <c r="N21" s="103"/>
    </row>
    <row r="22" spans="5:14" ht="12.75">
      <c r="E22" s="105">
        <v>8630417</v>
      </c>
      <c r="F22" t="s">
        <v>251</v>
      </c>
      <c r="L22" s="103"/>
      <c r="M22" s="103"/>
      <c r="N22" s="103"/>
    </row>
    <row r="23" spans="1:14" ht="12.75">
      <c r="A23" s="4" t="s">
        <v>252</v>
      </c>
      <c r="E23" s="146">
        <v>0.005</v>
      </c>
      <c r="F23" t="s">
        <v>253</v>
      </c>
      <c r="L23" s="103"/>
      <c r="M23" s="103"/>
      <c r="N23" s="103"/>
    </row>
    <row r="24" spans="1:2" ht="12.75">
      <c r="A24" t="s">
        <v>254</v>
      </c>
      <c r="B24" s="113">
        <f>B5*0.13</f>
        <v>33145.32</v>
      </c>
    </row>
    <row r="25" spans="1:6" ht="12.75">
      <c r="A25" t="s">
        <v>255</v>
      </c>
      <c r="B25" s="113">
        <f>B24*0.66</f>
        <v>21875.911200000002</v>
      </c>
      <c r="E25" s="149">
        <f>E23*F18</f>
        <v>0.0017</v>
      </c>
      <c r="F25" s="103" t="s">
        <v>256</v>
      </c>
    </row>
    <row r="26" spans="1:2" ht="12.75">
      <c r="A26" t="s">
        <v>257</v>
      </c>
      <c r="B26" s="146">
        <f>B25/B5</f>
        <v>0.08580000000000002</v>
      </c>
    </row>
    <row r="27" spans="1:2" ht="12.75">
      <c r="A27" t="s">
        <v>248</v>
      </c>
      <c r="B27" s="146">
        <v>0.09</v>
      </c>
    </row>
    <row r="28" spans="1:6" ht="12.75">
      <c r="A28" s="147" t="s">
        <v>249</v>
      </c>
      <c r="B28" s="150">
        <v>0.09</v>
      </c>
      <c r="E28" s="2">
        <v>0.5</v>
      </c>
      <c r="F28" t="s">
        <v>258</v>
      </c>
    </row>
    <row r="29" spans="5:6" ht="12.75">
      <c r="E29" s="2">
        <f>B12+B20+B28</f>
        <v>0.4726304890102132</v>
      </c>
      <c r="F29" t="s">
        <v>259</v>
      </c>
    </row>
    <row r="30" spans="5:6" ht="12.75">
      <c r="E30" s="2">
        <f>E28-E29</f>
        <v>0.027369510989786794</v>
      </c>
      <c r="F30" t="s">
        <v>122</v>
      </c>
    </row>
    <row r="31" spans="5:6" ht="12.75">
      <c r="E31" s="2">
        <f>E28-B12</f>
        <v>0.36736951098978676</v>
      </c>
      <c r="F31" t="s">
        <v>260</v>
      </c>
    </row>
    <row r="33" spans="5:6" ht="12.75">
      <c r="E33" s="151">
        <f>E23*E31</f>
        <v>0.0018368475549489338</v>
      </c>
      <c r="F33" t="s">
        <v>261</v>
      </c>
    </row>
    <row r="37" ht="12.75">
      <c r="A37" s="4" t="s">
        <v>262</v>
      </c>
    </row>
    <row r="38" ht="12.75">
      <c r="A38" t="s">
        <v>308</v>
      </c>
    </row>
    <row r="39" ht="12.75">
      <c r="A39" t="s">
        <v>283</v>
      </c>
    </row>
    <row r="40" ht="12.75">
      <c r="A40" t="s">
        <v>263</v>
      </c>
    </row>
    <row r="41" ht="12.75">
      <c r="A41" t="s">
        <v>264</v>
      </c>
    </row>
    <row r="42" ht="12.75">
      <c r="A42" t="s">
        <v>265</v>
      </c>
    </row>
    <row r="43" ht="12.75">
      <c r="A43" t="s">
        <v>266</v>
      </c>
    </row>
    <row r="45" ht="12.75">
      <c r="A45" s="4" t="s">
        <v>299</v>
      </c>
    </row>
    <row r="46" ht="12.75">
      <c r="A46" t="s">
        <v>284</v>
      </c>
    </row>
    <row r="47" ht="12.75">
      <c r="A47" t="s">
        <v>285</v>
      </c>
    </row>
    <row r="52" ht="15.75">
      <c r="A52" s="98" t="s">
        <v>267</v>
      </c>
    </row>
    <row r="54" spans="1:12" ht="12.75">
      <c r="A54">
        <v>4840000</v>
      </c>
      <c r="B54" t="s">
        <v>272</v>
      </c>
      <c r="J54" s="168"/>
      <c r="K54" s="103"/>
      <c r="L54" s="103"/>
    </row>
    <row r="55" spans="1:12" ht="12.75">
      <c r="A55" s="69">
        <v>1480000</v>
      </c>
      <c r="B55" t="s">
        <v>273</v>
      </c>
      <c r="J55" s="103"/>
      <c r="K55" s="103"/>
      <c r="L55" s="103"/>
    </row>
    <row r="56" spans="1:12" ht="12.75">
      <c r="A56">
        <v>340000</v>
      </c>
      <c r="B56" t="s">
        <v>274</v>
      </c>
      <c r="J56" s="103"/>
      <c r="K56" s="103"/>
      <c r="L56" s="103"/>
    </row>
    <row r="57" spans="1:12" ht="12.75">
      <c r="A57" s="158">
        <f>SUM(A55:A56)</f>
        <v>1820000</v>
      </c>
      <c r="B57" t="s">
        <v>275</v>
      </c>
      <c r="J57" s="103"/>
      <c r="K57" s="103"/>
      <c r="L57" s="103"/>
    </row>
    <row r="58" spans="1:12" ht="12.75">
      <c r="A58" s="146">
        <f>A57/A54</f>
        <v>0.3760330578512397</v>
      </c>
      <c r="B58" t="s">
        <v>277</v>
      </c>
      <c r="J58" s="103"/>
      <c r="K58" s="103"/>
      <c r="L58" s="103"/>
    </row>
    <row r="59" spans="1:12" ht="12.75">
      <c r="A59" s="148">
        <f>70%-A58</f>
        <v>0.32396694214876026</v>
      </c>
      <c r="B59" s="85" t="s">
        <v>279</v>
      </c>
      <c r="C59" s="85"/>
      <c r="D59" s="85"/>
      <c r="E59" s="85"/>
      <c r="F59" s="85"/>
      <c r="G59" s="85"/>
      <c r="J59" s="103"/>
      <c r="K59" s="103"/>
      <c r="L59" s="103"/>
    </row>
    <row r="60" spans="10:12" ht="12.75">
      <c r="J60" s="103"/>
      <c r="K60" s="103"/>
      <c r="L60" s="103"/>
    </row>
    <row r="61" spans="2:12" ht="12.75">
      <c r="B61" s="157"/>
      <c r="J61" s="103"/>
      <c r="K61" s="103"/>
      <c r="L61" s="103"/>
    </row>
    <row r="62" spans="10:12" ht="12.75">
      <c r="J62" s="103"/>
      <c r="K62" s="103"/>
      <c r="L62" s="103"/>
    </row>
    <row r="66" ht="12.75">
      <c r="A66" s="4" t="s">
        <v>262</v>
      </c>
    </row>
    <row r="67" ht="12.75">
      <c r="A67" t="s">
        <v>271</v>
      </c>
    </row>
    <row r="68" ht="12.75">
      <c r="A68" t="s">
        <v>276</v>
      </c>
    </row>
    <row r="69" ht="12.75">
      <c r="A69" t="s">
        <v>278</v>
      </c>
    </row>
    <row r="70" ht="12.75">
      <c r="A70" t="s">
        <v>280</v>
      </c>
    </row>
    <row r="73" ht="12.75">
      <c r="A73" s="4" t="s">
        <v>303</v>
      </c>
    </row>
    <row r="74" ht="12.75">
      <c r="A74" t="s">
        <v>281</v>
      </c>
    </row>
    <row r="75" ht="12.75">
      <c r="A75" t="s">
        <v>282</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4"/>
  <sheetViews>
    <sheetView zoomScalePageLayoutView="0" workbookViewId="0" topLeftCell="A1">
      <selection activeCell="G25" sqref="G25"/>
    </sheetView>
  </sheetViews>
  <sheetFormatPr defaultColWidth="9.140625" defaultRowHeight="12.75"/>
  <sheetData>
    <row r="1" ht="15.75">
      <c r="A1" s="98" t="s">
        <v>319</v>
      </c>
    </row>
    <row r="2" s="116" customFormat="1" ht="12.75"/>
    <row r="3" spans="1:4" s="116" customFormat="1" ht="12.75">
      <c r="A3" s="148">
        <v>0.05</v>
      </c>
      <c r="B3" s="147" t="s">
        <v>343</v>
      </c>
      <c r="C3" s="147"/>
      <c r="D3" s="147"/>
    </row>
    <row r="5" ht="12.75">
      <c r="A5" s="4" t="s">
        <v>262</v>
      </c>
    </row>
    <row r="6" ht="12.75">
      <c r="A6" t="s">
        <v>320</v>
      </c>
    </row>
    <row r="7" ht="12.75">
      <c r="A7" t="s">
        <v>321</v>
      </c>
    </row>
    <row r="8" ht="12.75">
      <c r="A8" t="s">
        <v>322</v>
      </c>
    </row>
    <row r="9" ht="12.75">
      <c r="A9" t="s">
        <v>323</v>
      </c>
    </row>
    <row r="10" ht="12.75">
      <c r="A10" t="s">
        <v>19</v>
      </c>
    </row>
    <row r="11" ht="12.75">
      <c r="A11" t="s">
        <v>18</v>
      </c>
    </row>
    <row r="13" ht="12.75">
      <c r="A13" s="4" t="s">
        <v>324</v>
      </c>
    </row>
    <row r="14" spans="1:4" ht="12.75">
      <c r="A14" s="103" t="s">
        <v>342</v>
      </c>
      <c r="B14" s="103"/>
      <c r="C14" s="103"/>
      <c r="D14" s="103"/>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23"/>
  <sheetViews>
    <sheetView zoomScalePageLayoutView="0" workbookViewId="0" topLeftCell="A1">
      <selection activeCell="K17" sqref="K17"/>
    </sheetView>
  </sheetViews>
  <sheetFormatPr defaultColWidth="9.140625" defaultRowHeight="12.75"/>
  <cols>
    <col min="1" max="1" width="20.140625" style="0" customWidth="1"/>
    <col min="2" max="2" width="34.140625" style="0" customWidth="1"/>
    <col min="3" max="3" width="19.00390625" style="0" customWidth="1"/>
  </cols>
  <sheetData>
    <row r="1" ht="15.75">
      <c r="A1" s="98" t="s">
        <v>463</v>
      </c>
    </row>
    <row r="4" ht="12.75">
      <c r="F4">
        <f>+C12*F7*365</f>
        <v>3983.2019186850002</v>
      </c>
    </row>
    <row r="5" spans="1:3" ht="25.5">
      <c r="A5" s="277" t="s">
        <v>448</v>
      </c>
      <c r="B5" s="277" t="s">
        <v>449</v>
      </c>
      <c r="C5" t="s">
        <v>467</v>
      </c>
    </row>
    <row r="6" spans="1:7" ht="12.75">
      <c r="A6" s="278" t="s">
        <v>450</v>
      </c>
      <c r="B6" s="278" t="s">
        <v>451</v>
      </c>
      <c r="C6">
        <f>0.5*F8</f>
        <v>0.000551155655</v>
      </c>
      <c r="F6" s="105">
        <v>600000</v>
      </c>
      <c r="G6" t="s">
        <v>507</v>
      </c>
    </row>
    <row r="7" spans="1:7" ht="12.75">
      <c r="A7" s="278" t="s">
        <v>452</v>
      </c>
      <c r="B7" s="278" t="s">
        <v>453</v>
      </c>
      <c r="C7">
        <f>0.07*F8</f>
        <v>7.716179170000001E-05</v>
      </c>
      <c r="F7">
        <f>F6*0.1</f>
        <v>60000</v>
      </c>
      <c r="G7" t="s">
        <v>464</v>
      </c>
    </row>
    <row r="8" spans="1:7" ht="12.75">
      <c r="A8" s="278" t="s">
        <v>454</v>
      </c>
      <c r="B8" s="278" t="s">
        <v>455</v>
      </c>
      <c r="C8">
        <f>0.08*F8</f>
        <v>8.81849048E-05</v>
      </c>
      <c r="F8">
        <v>0.00110231131</v>
      </c>
      <c r="G8" t="s">
        <v>468</v>
      </c>
    </row>
    <row r="9" spans="1:7" ht="12.75">
      <c r="A9" s="278" t="s">
        <v>456</v>
      </c>
      <c r="B9" s="278" t="s">
        <v>457</v>
      </c>
      <c r="C9">
        <f>0.09*F8</f>
        <v>9.92080179E-05</v>
      </c>
      <c r="F9">
        <f>C12*5*261*F7</f>
        <v>14241.310969545002</v>
      </c>
      <c r="G9" t="s">
        <v>469</v>
      </c>
    </row>
    <row r="10" spans="1:11" ht="12.75">
      <c r="A10" s="278" t="s">
        <v>458</v>
      </c>
      <c r="B10" s="278" t="s">
        <v>459</v>
      </c>
      <c r="C10">
        <f>0.12*F8</f>
        <v>0.0001322773572</v>
      </c>
      <c r="F10" s="147">
        <f>+F9*0.25</f>
        <v>3560.3277423862505</v>
      </c>
      <c r="G10" s="147" t="s">
        <v>544</v>
      </c>
      <c r="H10" s="147"/>
      <c r="I10" s="147"/>
      <c r="J10" s="103"/>
      <c r="K10" s="103"/>
    </row>
    <row r="11" spans="1:3" ht="12.75">
      <c r="A11" s="278" t="s">
        <v>460</v>
      </c>
      <c r="B11" s="278" t="s">
        <v>461</v>
      </c>
      <c r="C11">
        <f>0.13*F8</f>
        <v>0.0001433004703</v>
      </c>
    </row>
    <row r="12" spans="3:9" ht="12.75">
      <c r="C12" s="4">
        <f>AVERAGE(C6:C11)</f>
        <v>0.00018188136615000002</v>
      </c>
      <c r="D12" s="4" t="s">
        <v>472</v>
      </c>
      <c r="F12" s="103"/>
      <c r="G12" s="103"/>
      <c r="H12" s="103"/>
      <c r="I12" s="103"/>
    </row>
    <row r="13" ht="12.75">
      <c r="A13" s="280" t="s">
        <v>324</v>
      </c>
    </row>
    <row r="14" ht="12.75">
      <c r="A14" s="279" t="s">
        <v>462</v>
      </c>
    </row>
    <row r="16" ht="12.75">
      <c r="A16" s="4" t="s">
        <v>262</v>
      </c>
    </row>
    <row r="17" ht="12.75">
      <c r="A17" t="s">
        <v>470</v>
      </c>
    </row>
    <row r="18" ht="12.75">
      <c r="A18" t="s">
        <v>508</v>
      </c>
    </row>
    <row r="19" ht="12.75">
      <c r="A19" t="s">
        <v>471</v>
      </c>
    </row>
    <row r="20" ht="12.75">
      <c r="A20" t="s">
        <v>465</v>
      </c>
    </row>
    <row r="21" ht="12.75">
      <c r="A21" t="s">
        <v>466</v>
      </c>
    </row>
    <row r="22" ht="12.75">
      <c r="A22" t="s">
        <v>509</v>
      </c>
    </row>
    <row r="23" ht="12.75">
      <c r="A23" t="s">
        <v>543</v>
      </c>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W63"/>
  <sheetViews>
    <sheetView zoomScalePageLayoutView="0" workbookViewId="0" topLeftCell="A1">
      <selection activeCell="I48" sqref="I48"/>
    </sheetView>
  </sheetViews>
  <sheetFormatPr defaultColWidth="9.140625" defaultRowHeight="12.75"/>
  <cols>
    <col min="1" max="1" width="15.421875" style="0" customWidth="1"/>
    <col min="2" max="2" width="8.00390625" style="0" customWidth="1"/>
    <col min="10" max="10" width="12.28125" style="0" bestFit="1" customWidth="1"/>
    <col min="11" max="11" width="12.140625" style="0" customWidth="1"/>
  </cols>
  <sheetData>
    <row r="1" spans="1:11" ht="15.75">
      <c r="A1" s="98" t="s">
        <v>476</v>
      </c>
      <c r="K1" s="98" t="s">
        <v>477</v>
      </c>
    </row>
    <row r="2" spans="12:23" s="4" customFormat="1" ht="12.75">
      <c r="L2"/>
      <c r="M2"/>
      <c r="N2"/>
      <c r="O2"/>
      <c r="P2"/>
      <c r="Q2"/>
      <c r="R2"/>
      <c r="S2"/>
      <c r="T2"/>
      <c r="U2"/>
      <c r="V2"/>
      <c r="W2"/>
    </row>
    <row r="4" spans="1:17" ht="12.75">
      <c r="A4" s="218" t="s">
        <v>10</v>
      </c>
      <c r="B4" s="310"/>
      <c r="C4" s="292"/>
      <c r="D4" s="292"/>
      <c r="E4" s="292"/>
      <c r="F4" s="292"/>
      <c r="G4" s="292"/>
      <c r="K4" s="218" t="s">
        <v>10</v>
      </c>
      <c r="L4" s="311"/>
      <c r="M4" s="218"/>
      <c r="N4" s="218"/>
      <c r="O4" s="218"/>
      <c r="P4" s="218"/>
      <c r="Q4" s="218"/>
    </row>
    <row r="5" spans="1:13" ht="12.75">
      <c r="A5" s="103"/>
      <c r="B5" s="213">
        <v>0.056</v>
      </c>
      <c r="C5" t="s">
        <v>502</v>
      </c>
      <c r="L5" s="213">
        <f>+B5</f>
        <v>0.056</v>
      </c>
      <c r="M5" t="s">
        <v>478</v>
      </c>
    </row>
    <row r="6" spans="2:13" ht="12.75">
      <c r="B6" s="2">
        <v>0.1</v>
      </c>
      <c r="C6" t="s">
        <v>479</v>
      </c>
      <c r="L6" s="2">
        <v>0.5</v>
      </c>
      <c r="M6" t="s">
        <v>480</v>
      </c>
    </row>
    <row r="7" spans="2:13" ht="12.75">
      <c r="B7" s="2">
        <v>0.15</v>
      </c>
      <c r="C7" t="s">
        <v>481</v>
      </c>
      <c r="L7" s="283">
        <v>0.2</v>
      </c>
      <c r="M7" t="s">
        <v>482</v>
      </c>
    </row>
    <row r="9" spans="2:13" ht="12.75">
      <c r="B9" s="284">
        <f>B5*B6*B7</f>
        <v>0.0008400000000000001</v>
      </c>
      <c r="C9" t="s">
        <v>2</v>
      </c>
      <c r="L9" s="284">
        <f>L5*L6*L7</f>
        <v>0.005600000000000001</v>
      </c>
      <c r="M9" t="s">
        <v>2</v>
      </c>
    </row>
    <row r="10" spans="2:13" ht="12.75">
      <c r="B10">
        <v>7.5</v>
      </c>
      <c r="C10" t="s">
        <v>13</v>
      </c>
      <c r="L10">
        <v>5</v>
      </c>
      <c r="M10" t="s">
        <v>483</v>
      </c>
    </row>
    <row r="12" spans="2:13" ht="12.75">
      <c r="B12" s="164">
        <f>B9*B10</f>
        <v>0.006300000000000001</v>
      </c>
      <c r="C12" t="s">
        <v>3</v>
      </c>
      <c r="L12" s="164">
        <f>L9*L10</f>
        <v>0.028000000000000004</v>
      </c>
      <c r="M12" t="s">
        <v>3</v>
      </c>
    </row>
    <row r="13" spans="2:13" ht="12.75">
      <c r="B13" s="164">
        <v>0.066</v>
      </c>
      <c r="C13" t="s">
        <v>484</v>
      </c>
      <c r="L13" s="164">
        <v>0.066</v>
      </c>
      <c r="M13" t="s">
        <v>484</v>
      </c>
    </row>
    <row r="15" spans="2:13" s="4" customFormat="1" ht="12.75">
      <c r="B15" s="285">
        <f>B12*B13</f>
        <v>0.0004158000000000001</v>
      </c>
      <c r="C15" s="4" t="s">
        <v>505</v>
      </c>
      <c r="L15" s="285">
        <f>L12*L13</f>
        <v>0.0018480000000000003</v>
      </c>
      <c r="M15" s="4" t="s">
        <v>485</v>
      </c>
    </row>
    <row r="17" spans="1:17" ht="12.75">
      <c r="A17" s="218" t="s">
        <v>11</v>
      </c>
      <c r="B17" s="292"/>
      <c r="C17" s="292"/>
      <c r="D17" s="292"/>
      <c r="E17" s="292"/>
      <c r="F17" s="292"/>
      <c r="G17" s="292"/>
      <c r="K17" s="218" t="s">
        <v>12</v>
      </c>
      <c r="L17" s="218"/>
      <c r="M17" s="218"/>
      <c r="N17" s="218"/>
      <c r="O17" s="218"/>
      <c r="P17" s="218"/>
      <c r="Q17" s="218"/>
    </row>
    <row r="18" spans="2:13" ht="12.75">
      <c r="B18" s="213">
        <f>+B5</f>
        <v>0.056</v>
      </c>
      <c r="C18" t="s">
        <v>478</v>
      </c>
      <c r="L18" s="213">
        <f>L5</f>
        <v>0.056</v>
      </c>
      <c r="M18" t="s">
        <v>478</v>
      </c>
    </row>
    <row r="19" spans="2:13" ht="12.75">
      <c r="B19" s="2">
        <f>B6</f>
        <v>0.1</v>
      </c>
      <c r="C19" t="s">
        <v>479</v>
      </c>
      <c r="L19" s="2">
        <f>L6</f>
        <v>0.5</v>
      </c>
      <c r="M19" t="s">
        <v>480</v>
      </c>
    </row>
    <row r="20" spans="2:13" ht="12.75">
      <c r="B20" s="2">
        <v>0.1</v>
      </c>
      <c r="C20" t="s">
        <v>504</v>
      </c>
      <c r="K20" s="103"/>
      <c r="L20" s="122">
        <v>0.15</v>
      </c>
      <c r="M20" t="s">
        <v>486</v>
      </c>
    </row>
    <row r="22" spans="2:13" ht="12.75">
      <c r="B22" s="284">
        <f>B18*B19*B20</f>
        <v>0.0005600000000000001</v>
      </c>
      <c r="C22" t="s">
        <v>4</v>
      </c>
      <c r="L22" s="284">
        <f>L18*L19*L20</f>
        <v>0.0042</v>
      </c>
      <c r="M22" t="s">
        <v>4</v>
      </c>
    </row>
    <row r="23" spans="1:13" ht="12.75">
      <c r="A23" s="103"/>
      <c r="B23" s="103">
        <v>7.5</v>
      </c>
      <c r="C23" t="s">
        <v>13</v>
      </c>
      <c r="L23">
        <f>L10</f>
        <v>5</v>
      </c>
      <c r="M23" t="s">
        <v>483</v>
      </c>
    </row>
    <row r="25" spans="2:13" ht="12.75">
      <c r="B25" s="164">
        <f>B22*B23</f>
        <v>0.004200000000000001</v>
      </c>
      <c r="C25" t="s">
        <v>5</v>
      </c>
      <c r="L25" s="164">
        <f>L22*L23</f>
        <v>0.020999999999999998</v>
      </c>
      <c r="M25" t="s">
        <v>14</v>
      </c>
    </row>
    <row r="26" spans="2:13" ht="12.75">
      <c r="B26" s="1">
        <v>0.1</v>
      </c>
      <c r="C26" t="s">
        <v>487</v>
      </c>
      <c r="L26" s="1">
        <v>0.1</v>
      </c>
      <c r="M26" t="s">
        <v>487</v>
      </c>
    </row>
    <row r="28" spans="2:13" s="4" customFormat="1" ht="12.75">
      <c r="B28" s="285">
        <f>B25*B26</f>
        <v>0.00042000000000000007</v>
      </c>
      <c r="C28" s="4" t="s">
        <v>505</v>
      </c>
      <c r="L28" s="285">
        <f>L25*L26</f>
        <v>0.0021</v>
      </c>
      <c r="M28" s="4" t="s">
        <v>485</v>
      </c>
    </row>
    <row r="30" spans="1:17" ht="12.75">
      <c r="A30" s="218" t="s">
        <v>488</v>
      </c>
      <c r="B30" s="292"/>
      <c r="C30" s="292"/>
      <c r="D30" s="292"/>
      <c r="E30" s="292"/>
      <c r="F30" s="292"/>
      <c r="G30" s="292"/>
      <c r="K30" s="218" t="s">
        <v>488</v>
      </c>
      <c r="L30" s="218"/>
      <c r="M30" s="218"/>
      <c r="N30" s="218"/>
      <c r="O30" s="218"/>
      <c r="P30" s="218"/>
      <c r="Q30" s="218"/>
    </row>
    <row r="31" spans="11:13" ht="12.75">
      <c r="K31" s="103"/>
      <c r="L31" s="213">
        <v>0.044</v>
      </c>
      <c r="M31" t="s">
        <v>489</v>
      </c>
    </row>
    <row r="32" spans="2:13" ht="12.75">
      <c r="B32" s="122">
        <v>0.01</v>
      </c>
      <c r="C32" t="s">
        <v>503</v>
      </c>
      <c r="I32" s="103"/>
      <c r="L32" s="2">
        <v>0.5</v>
      </c>
      <c r="M32" t="s">
        <v>490</v>
      </c>
    </row>
    <row r="33" spans="2:13" ht="12.75">
      <c r="B33" s="2">
        <v>0.1</v>
      </c>
      <c r="C33" t="s">
        <v>481</v>
      </c>
      <c r="L33" s="2">
        <v>0.15</v>
      </c>
      <c r="M33" t="s">
        <v>481</v>
      </c>
    </row>
    <row r="35" spans="2:13" ht="12.75">
      <c r="B35" s="164">
        <f>B32*B33</f>
        <v>0.001</v>
      </c>
      <c r="C35" t="s">
        <v>6</v>
      </c>
      <c r="L35" s="164">
        <f>L31*L32*L33</f>
        <v>0.0032999999999999995</v>
      </c>
      <c r="M35" t="s">
        <v>15</v>
      </c>
    </row>
    <row r="36" spans="1:13" ht="12.75">
      <c r="A36" s="103"/>
      <c r="B36" s="103">
        <v>10</v>
      </c>
      <c r="C36" t="s">
        <v>17</v>
      </c>
      <c r="L36">
        <v>10</v>
      </c>
      <c r="M36" t="s">
        <v>491</v>
      </c>
    </row>
    <row r="38" spans="2:13" ht="12.75">
      <c r="B38" s="164">
        <f>B35*B36</f>
        <v>0.01</v>
      </c>
      <c r="C38" t="s">
        <v>7</v>
      </c>
      <c r="L38" s="164">
        <f>L35*L36</f>
        <v>0.032999999999999995</v>
      </c>
      <c r="M38" t="s">
        <v>16</v>
      </c>
    </row>
    <row r="39" spans="2:13" ht="12.75">
      <c r="B39" s="1">
        <v>0.293</v>
      </c>
      <c r="C39" t="s">
        <v>492</v>
      </c>
      <c r="L39" s="1">
        <v>0.293</v>
      </c>
      <c r="M39" t="s">
        <v>492</v>
      </c>
    </row>
    <row r="40" spans="1:23" s="4" customFormat="1" ht="12.75">
      <c r="A40"/>
      <c r="B40"/>
      <c r="C40"/>
      <c r="D40"/>
      <c r="K40"/>
      <c r="L40"/>
      <c r="M40"/>
      <c r="N40"/>
      <c r="O40"/>
      <c r="P40"/>
      <c r="Q40"/>
      <c r="R40"/>
      <c r="S40"/>
      <c r="T40"/>
      <c r="U40"/>
      <c r="V40"/>
      <c r="W40"/>
    </row>
    <row r="41" spans="1:23" ht="12.75">
      <c r="A41" s="4"/>
      <c r="B41" s="151">
        <f>B38*B39</f>
        <v>0.00293</v>
      </c>
      <c r="C41" s="4" t="str">
        <f>C15</f>
        <v>reduction in annual GHG emissions in 2020</v>
      </c>
      <c r="D41" s="4"/>
      <c r="K41" s="4"/>
      <c r="L41" s="151">
        <f>L38*L39</f>
        <v>0.009668999999999997</v>
      </c>
      <c r="M41" s="4" t="s">
        <v>485</v>
      </c>
      <c r="N41" s="4"/>
      <c r="O41" s="4"/>
      <c r="P41" s="4"/>
      <c r="Q41" s="4"/>
      <c r="R41" s="4"/>
      <c r="S41" s="4"/>
      <c r="T41" s="4"/>
      <c r="U41" s="4"/>
      <c r="V41" s="4"/>
      <c r="W41" s="4"/>
    </row>
    <row r="43" spans="1:17" ht="12.75">
      <c r="A43" s="218" t="s">
        <v>493</v>
      </c>
      <c r="B43" s="292"/>
      <c r="C43" s="292"/>
      <c r="D43" s="292"/>
      <c r="E43" s="292"/>
      <c r="F43" s="292"/>
      <c r="G43" s="292"/>
      <c r="K43" s="218" t="s">
        <v>493</v>
      </c>
      <c r="L43" s="218"/>
      <c r="M43" s="218"/>
      <c r="N43" s="218"/>
      <c r="O43" s="218"/>
      <c r="P43" s="218"/>
      <c r="Q43" s="218"/>
    </row>
    <row r="44" spans="11:13" ht="12.75">
      <c r="K44" s="286"/>
      <c r="L44" s="213">
        <f>L31</f>
        <v>0.044</v>
      </c>
      <c r="M44" t="s">
        <v>489</v>
      </c>
    </row>
    <row r="45" spans="2:13" ht="12.75">
      <c r="B45" s="122">
        <v>0.01</v>
      </c>
      <c r="C45" t="s">
        <v>503</v>
      </c>
      <c r="L45" s="2">
        <f>L32</f>
        <v>0.5</v>
      </c>
      <c r="M45" t="s">
        <v>490</v>
      </c>
    </row>
    <row r="46" spans="2:13" ht="12.75">
      <c r="B46" s="2">
        <v>0.1</v>
      </c>
      <c r="C46" t="s">
        <v>486</v>
      </c>
      <c r="K46" s="103"/>
      <c r="L46" s="122">
        <v>0.15</v>
      </c>
      <c r="M46" t="s">
        <v>486</v>
      </c>
    </row>
    <row r="47" spans="11:12" ht="12.75">
      <c r="K47" s="103"/>
      <c r="L47" s="103"/>
    </row>
    <row r="48" spans="2:13" ht="12.75">
      <c r="B48" s="164">
        <f>B45*B46</f>
        <v>0.001</v>
      </c>
      <c r="C48" t="s">
        <v>8</v>
      </c>
      <c r="L48" s="164">
        <f>L44*L45*L46</f>
        <v>0.0032999999999999995</v>
      </c>
      <c r="M48" t="s">
        <v>8</v>
      </c>
    </row>
    <row r="49" spans="1:13" ht="12.75">
      <c r="A49" s="103"/>
      <c r="B49" s="103">
        <f>B36</f>
        <v>10</v>
      </c>
      <c r="C49" t="s">
        <v>17</v>
      </c>
      <c r="L49">
        <v>5</v>
      </c>
      <c r="M49" t="s">
        <v>491</v>
      </c>
    </row>
    <row r="51" spans="2:13" ht="12.75">
      <c r="B51" s="164">
        <f>B48*B49</f>
        <v>0.01</v>
      </c>
      <c r="C51" t="s">
        <v>9</v>
      </c>
      <c r="L51" s="164">
        <f>L48*L49</f>
        <v>0.016499999999999997</v>
      </c>
      <c r="M51" t="s">
        <v>9</v>
      </c>
    </row>
    <row r="52" spans="1:23" s="4" customFormat="1" ht="12.75">
      <c r="A52"/>
      <c r="B52" s="1">
        <v>0.169</v>
      </c>
      <c r="C52" t="s">
        <v>494</v>
      </c>
      <c r="D52"/>
      <c r="K52"/>
      <c r="L52" s="1">
        <v>0.169</v>
      </c>
      <c r="M52" t="s">
        <v>494</v>
      </c>
      <c r="N52"/>
      <c r="O52"/>
      <c r="P52"/>
      <c r="Q52"/>
      <c r="R52"/>
      <c r="S52"/>
      <c r="T52"/>
      <c r="U52"/>
      <c r="V52"/>
      <c r="W52"/>
    </row>
    <row r="53" ht="12.75">
      <c r="A53" s="4"/>
    </row>
    <row r="54" spans="1:13" s="4" customFormat="1" ht="12.75">
      <c r="A54"/>
      <c r="B54" s="151">
        <f>B51*B52</f>
        <v>0.00169</v>
      </c>
      <c r="C54" s="4" t="str">
        <f>C15</f>
        <v>reduction in annual GHG emissions in 2020</v>
      </c>
      <c r="L54" s="151">
        <f>L51*L52</f>
        <v>0.0027884999999999997</v>
      </c>
      <c r="M54" s="4" t="s">
        <v>485</v>
      </c>
    </row>
    <row r="56" spans="1:23" ht="12.75">
      <c r="A56" s="312" t="s">
        <v>40</v>
      </c>
      <c r="B56" s="159">
        <f>B15+B28+B41+B54</f>
        <v>0.0054558</v>
      </c>
      <c r="C56" s="147" t="s">
        <v>495</v>
      </c>
      <c r="D56" s="147"/>
      <c r="E56" s="85"/>
      <c r="F56" s="85"/>
      <c r="G56" s="85"/>
      <c r="H56" s="85"/>
      <c r="K56" s="312" t="s">
        <v>40</v>
      </c>
      <c r="L56" s="159">
        <f>L15+L28+L41+L54</f>
        <v>0.016405499999999996</v>
      </c>
      <c r="M56" s="147" t="s">
        <v>495</v>
      </c>
      <c r="N56" s="147"/>
      <c r="O56" s="147"/>
      <c r="P56" s="147"/>
      <c r="Q56" s="147"/>
      <c r="R56" s="147"/>
      <c r="S56" s="4"/>
      <c r="T56" s="4"/>
      <c r="U56" s="4"/>
      <c r="V56" s="4"/>
      <c r="W56" s="4"/>
    </row>
    <row r="57" spans="3:14" ht="12.75">
      <c r="C57" t="s">
        <v>496</v>
      </c>
      <c r="D57" s="164">
        <f>B15+B41</f>
        <v>0.0033458</v>
      </c>
      <c r="M57" t="s">
        <v>496</v>
      </c>
      <c r="N57" s="164">
        <f>L15+L41</f>
        <v>0.011516999999999998</v>
      </c>
    </row>
    <row r="58" spans="3:14" ht="12.75">
      <c r="C58" t="s">
        <v>497</v>
      </c>
      <c r="D58" s="164">
        <f>B28+B54</f>
        <v>0.0021100000000000003</v>
      </c>
      <c r="M58" t="s">
        <v>497</v>
      </c>
      <c r="N58" s="164">
        <f>L28+L54</f>
        <v>0.0048885</v>
      </c>
    </row>
    <row r="59" spans="4:14" ht="12.75">
      <c r="D59" s="164"/>
      <c r="N59" s="164"/>
    </row>
    <row r="60" spans="3:14" ht="12.75">
      <c r="C60" t="s">
        <v>498</v>
      </c>
      <c r="D60" s="164">
        <f>B15+B28</f>
        <v>0.0008358000000000001</v>
      </c>
      <c r="M60" t="s">
        <v>498</v>
      </c>
      <c r="N60" s="164">
        <f>L15+L28</f>
        <v>0.003948</v>
      </c>
    </row>
    <row r="61" spans="3:14" ht="12.75">
      <c r="C61" t="s">
        <v>351</v>
      </c>
      <c r="D61" s="164">
        <f>B41+B54</f>
        <v>0.00462</v>
      </c>
      <c r="M61" t="s">
        <v>351</v>
      </c>
      <c r="N61" s="164">
        <f>L41+L54</f>
        <v>0.012457499999999996</v>
      </c>
    </row>
    <row r="63" spans="1:4" ht="12.75">
      <c r="A63" s="103"/>
      <c r="B63" s="103"/>
      <c r="C63" s="103"/>
      <c r="D63" s="103"/>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M206"/>
  <sheetViews>
    <sheetView zoomScalePageLayoutView="0" workbookViewId="0" topLeftCell="B1">
      <selection activeCell="J14" sqref="J14"/>
    </sheetView>
  </sheetViews>
  <sheetFormatPr defaultColWidth="9.140625" defaultRowHeight="12.75"/>
  <cols>
    <col min="1" max="1" width="3.28125" style="173" customWidth="1"/>
    <col min="2" max="2" width="45.140625" style="173" customWidth="1"/>
    <col min="3" max="3" width="14.421875" style="173" customWidth="1"/>
    <col min="4" max="4" width="13.421875" style="173" customWidth="1"/>
    <col min="5" max="5" width="14.57421875" style="173" customWidth="1"/>
    <col min="6" max="6" width="14.00390625" style="173" customWidth="1"/>
    <col min="7" max="7" width="18.00390625" style="173" customWidth="1"/>
    <col min="8" max="8" width="14.57421875" style="173" customWidth="1"/>
    <col min="9" max="10" width="15.57421875" style="173" customWidth="1"/>
    <col min="11" max="11" width="12.57421875" style="173" customWidth="1"/>
    <col min="12" max="12" width="16.00390625" style="173" customWidth="1"/>
    <col min="13" max="13" width="14.00390625" style="173" customWidth="1"/>
    <col min="14" max="16384" width="9.140625" style="173" customWidth="1"/>
  </cols>
  <sheetData>
    <row r="1" ht="18.75">
      <c r="B1" s="211" t="s">
        <v>564</v>
      </c>
    </row>
    <row r="2" ht="15">
      <c r="B2" s="174" t="s">
        <v>344</v>
      </c>
    </row>
    <row r="3" spans="2:10" ht="15">
      <c r="B3" s="175"/>
      <c r="D3" s="183"/>
      <c r="E3" s="209"/>
      <c r="I3" s="176" t="s">
        <v>345</v>
      </c>
      <c r="J3" s="176"/>
    </row>
    <row r="4" spans="2:11" ht="15">
      <c r="B4" s="176" t="s">
        <v>346</v>
      </c>
      <c r="E4" s="209"/>
      <c r="I4" s="177" t="s">
        <v>347</v>
      </c>
      <c r="J4" s="177"/>
      <c r="K4" s="178">
        <v>900</v>
      </c>
    </row>
    <row r="5" spans="7:11" ht="15">
      <c r="G5" s="173" t="s">
        <v>348</v>
      </c>
      <c r="I5" s="177" t="s">
        <v>349</v>
      </c>
      <c r="J5" s="177"/>
      <c r="K5" s="179">
        <f>K4/2000*1000</f>
        <v>450</v>
      </c>
    </row>
    <row r="6" spans="2:11" ht="15">
      <c r="B6" s="180" t="s">
        <v>350</v>
      </c>
      <c r="C6" s="181" t="s">
        <v>64</v>
      </c>
      <c r="D6" s="182" t="s">
        <v>351</v>
      </c>
      <c r="E6" s="182" t="s">
        <v>40</v>
      </c>
      <c r="F6" s="173" t="s">
        <v>352</v>
      </c>
      <c r="G6" s="181" t="s">
        <v>353</v>
      </c>
      <c r="I6" s="173" t="s">
        <v>354</v>
      </c>
      <c r="K6" s="183"/>
    </row>
    <row r="7" spans="2:11" ht="15">
      <c r="B7" s="175" t="s">
        <v>355</v>
      </c>
      <c r="C7" s="173">
        <f>'[2]Boston-in-NSTAR'!L11/1000000</f>
        <v>1246.359067</v>
      </c>
      <c r="D7" s="173">
        <f>E7-C7</f>
        <v>5531.11881</v>
      </c>
      <c r="E7" s="173">
        <f>'[2]Boston-in-NSTAR'!L15/1000000</f>
        <v>6777.477877</v>
      </c>
      <c r="F7" s="173">
        <f>K$5</f>
        <v>450</v>
      </c>
      <c r="G7" s="173">
        <f>E7*F7</f>
        <v>3049865.04465</v>
      </c>
      <c r="K7" s="184">
        <v>0.006178220733517619</v>
      </c>
    </row>
    <row r="8" spans="2:7" ht="15">
      <c r="B8" s="175" t="s">
        <v>356</v>
      </c>
      <c r="C8" s="173">
        <f>'[2]data-GHG'!G7</f>
        <v>76518407</v>
      </c>
      <c r="D8" s="173">
        <f>'[2]data-GHG'!G14</f>
        <v>236638842</v>
      </c>
      <c r="E8" s="173">
        <f>C8+D8</f>
        <v>313157249</v>
      </c>
      <c r="F8" s="185">
        <f>K$7</f>
        <v>0.006178220733517619</v>
      </c>
      <c r="G8" s="173">
        <f>E8*F8</f>
        <v>1934754.6086231396</v>
      </c>
    </row>
    <row r="9" spans="2:4" ht="15">
      <c r="B9" s="175"/>
      <c r="D9" s="185" t="s">
        <v>357</v>
      </c>
    </row>
    <row r="10" spans="2:4" ht="15">
      <c r="B10" s="175"/>
      <c r="D10" s="185"/>
    </row>
    <row r="11" spans="2:4" ht="15">
      <c r="B11" s="175"/>
      <c r="D11" s="185"/>
    </row>
    <row r="12" spans="2:4" ht="15">
      <c r="B12" s="195" t="s">
        <v>549</v>
      </c>
      <c r="D12" s="185"/>
    </row>
    <row r="13" spans="2:12" s="181" customFormat="1" ht="45">
      <c r="B13" s="363" t="s">
        <v>361</v>
      </c>
      <c r="C13" s="364" t="s">
        <v>551</v>
      </c>
      <c r="D13" s="365" t="s">
        <v>358</v>
      </c>
      <c r="E13" s="364" t="s">
        <v>552</v>
      </c>
      <c r="F13" s="364" t="s">
        <v>362</v>
      </c>
      <c r="G13" s="366" t="s">
        <v>553</v>
      </c>
      <c r="H13" s="367" t="s">
        <v>554</v>
      </c>
      <c r="I13" s="367" t="s">
        <v>555</v>
      </c>
      <c r="J13" s="368" t="s">
        <v>558</v>
      </c>
      <c r="K13" s="364" t="s">
        <v>556</v>
      </c>
      <c r="L13" s="369" t="s">
        <v>557</v>
      </c>
    </row>
    <row r="14" spans="2:12" ht="15">
      <c r="B14" s="370" t="s">
        <v>65</v>
      </c>
      <c r="C14" s="192">
        <v>0.067</v>
      </c>
      <c r="D14" s="371">
        <f>C14*D27</f>
        <v>0.9380000000000001</v>
      </c>
      <c r="E14" s="204">
        <v>3412</v>
      </c>
      <c r="F14" s="372">
        <f>D14*E14/1000</f>
        <v>3.200456</v>
      </c>
      <c r="G14" s="190">
        <v>4500000</v>
      </c>
      <c r="H14" s="204">
        <f>F14*G14</f>
        <v>14402052</v>
      </c>
      <c r="I14" s="190">
        <f>H14/E14*0.001</f>
        <v>4.221</v>
      </c>
      <c r="J14" s="373">
        <f>+I14/(E7)*L17</f>
        <v>0.006227980491569519</v>
      </c>
      <c r="K14" s="190">
        <f>K5</f>
        <v>450</v>
      </c>
      <c r="L14" s="374">
        <f>I14*K14</f>
        <v>1899.45</v>
      </c>
    </row>
    <row r="15" spans="2:12" ht="15">
      <c r="B15" s="378" t="s">
        <v>66</v>
      </c>
      <c r="C15" s="379">
        <v>0.067</v>
      </c>
      <c r="D15" s="380">
        <f>C15*D28</f>
        <v>0.01675</v>
      </c>
      <c r="E15" s="181">
        <v>100000</v>
      </c>
      <c r="F15" s="198">
        <f>D15*E15/1000</f>
        <v>1.675</v>
      </c>
      <c r="G15" s="181">
        <f>G14</f>
        <v>4500000</v>
      </c>
      <c r="H15" s="181">
        <f>F15*G15</f>
        <v>7537500</v>
      </c>
      <c r="I15" s="200">
        <f>H15/E15*1000</f>
        <v>75375</v>
      </c>
      <c r="J15" s="381">
        <f>+I15/(E8)*L17</f>
        <v>0.002406937736255309</v>
      </c>
      <c r="K15" s="382">
        <f>K7</f>
        <v>0.006178220733517619</v>
      </c>
      <c r="L15" s="375">
        <f>I15*K15</f>
        <v>465.6833877888905</v>
      </c>
    </row>
    <row r="16" spans="2:13" ht="15">
      <c r="B16" s="204"/>
      <c r="C16" s="204"/>
      <c r="D16" s="204"/>
      <c r="E16" s="204"/>
      <c r="F16" s="372"/>
      <c r="G16" s="204"/>
      <c r="H16" s="376"/>
      <c r="I16" s="377"/>
      <c r="J16" s="377"/>
      <c r="K16" s="204"/>
      <c r="L16" s="204"/>
      <c r="M16" s="173">
        <f>SUM(L14:L15)</f>
        <v>2365.1333877888906</v>
      </c>
    </row>
    <row r="17" spans="2:12" ht="15">
      <c r="B17" s="201" t="s">
        <v>563</v>
      </c>
      <c r="C17" s="196">
        <f>0.5*C14</f>
        <v>0.0335</v>
      </c>
      <c r="I17" s="203" t="s">
        <v>559</v>
      </c>
      <c r="L17" s="335">
        <v>10</v>
      </c>
    </row>
    <row r="18" spans="8:12" ht="15">
      <c r="H18" s="202"/>
      <c r="I18" s="202"/>
      <c r="J18" s="202"/>
      <c r="L18" s="212"/>
    </row>
    <row r="19" spans="9:12" ht="15">
      <c r="I19" s="212" t="s">
        <v>560</v>
      </c>
      <c r="J19" s="212"/>
      <c r="K19" s="212" t="s">
        <v>364</v>
      </c>
      <c r="L19" s="212" t="s">
        <v>363</v>
      </c>
    </row>
    <row r="20" spans="2:12" ht="15">
      <c r="B20" s="176" t="s">
        <v>550</v>
      </c>
      <c r="I20" s="212"/>
      <c r="J20" s="212"/>
      <c r="K20" s="212"/>
      <c r="L20" s="212"/>
    </row>
    <row r="21" spans="2:12" ht="15">
      <c r="B21" s="180" t="s">
        <v>561</v>
      </c>
      <c r="D21" s="181" t="s">
        <v>358</v>
      </c>
      <c r="E21" s="173" t="s">
        <v>352</v>
      </c>
      <c r="F21" s="181" t="s">
        <v>358</v>
      </c>
      <c r="I21" s="212"/>
      <c r="J21" s="212"/>
      <c r="K21" s="212"/>
      <c r="L21" s="212"/>
    </row>
    <row r="22" spans="2:7" ht="15">
      <c r="B22" s="175" t="s">
        <v>359</v>
      </c>
      <c r="D22" s="353">
        <v>15.5</v>
      </c>
      <c r="E22" s="173">
        <v>3412</v>
      </c>
      <c r="F22" s="173">
        <f>D22*E22/1000</f>
        <v>52.886</v>
      </c>
      <c r="G22" s="197">
        <f>F22/$F$24</f>
        <v>0.6620183761860652</v>
      </c>
    </row>
    <row r="23" spans="2:7" ht="15">
      <c r="B23" s="175" t="s">
        <v>356</v>
      </c>
      <c r="D23" s="353">
        <v>0.27</v>
      </c>
      <c r="E23" s="173">
        <v>100000</v>
      </c>
      <c r="F23" s="181">
        <f>D23*E23/1000</f>
        <v>27</v>
      </c>
      <c r="G23" s="197">
        <f>F23/$F$24</f>
        <v>0.3379816238139349</v>
      </c>
    </row>
    <row r="24" spans="2:7" ht="15">
      <c r="B24" s="186" t="s">
        <v>360</v>
      </c>
      <c r="D24" s="183"/>
      <c r="F24" s="173">
        <f>SUM(F22:F23)</f>
        <v>79.886</v>
      </c>
      <c r="G24" s="187"/>
    </row>
    <row r="25" spans="4:7" ht="15">
      <c r="D25" s="183"/>
      <c r="G25" s="187"/>
    </row>
    <row r="26" spans="2:8" ht="15">
      <c r="B26" s="180" t="s">
        <v>562</v>
      </c>
      <c r="D26" s="183"/>
      <c r="G26" s="187"/>
      <c r="H26" s="176"/>
    </row>
    <row r="27" spans="2:8" ht="15">
      <c r="B27" s="175" t="s">
        <v>359</v>
      </c>
      <c r="D27" s="353">
        <v>14</v>
      </c>
      <c r="E27" s="173">
        <v>3412</v>
      </c>
      <c r="F27" s="173">
        <f>D27*E27/1000</f>
        <v>47.768</v>
      </c>
      <c r="G27" s="197">
        <f>F27/$F$29</f>
        <v>0.6564423922603342</v>
      </c>
      <c r="H27" s="194"/>
    </row>
    <row r="28" spans="2:7" ht="15">
      <c r="B28" s="175" t="s">
        <v>356</v>
      </c>
      <c r="D28" s="353">
        <v>0.25</v>
      </c>
      <c r="E28" s="173">
        <v>100000</v>
      </c>
      <c r="F28" s="181">
        <f>D28*E28/1000</f>
        <v>25</v>
      </c>
      <c r="G28" s="197">
        <f>F28/$F$29</f>
        <v>0.34355760773966576</v>
      </c>
    </row>
    <row r="29" spans="2:6" ht="15">
      <c r="B29" s="186" t="s">
        <v>360</v>
      </c>
      <c r="F29" s="173">
        <f>SUM(F27:F28)</f>
        <v>72.768</v>
      </c>
    </row>
    <row r="31" spans="2:7" ht="15">
      <c r="B31" s="188"/>
      <c r="C31" s="183"/>
      <c r="D31" s="183"/>
      <c r="E31" s="183"/>
      <c r="F31" s="183"/>
      <c r="G31" s="183"/>
    </row>
    <row r="32" spans="2:7" ht="15">
      <c r="B32" s="188"/>
      <c r="C32" s="183"/>
      <c r="D32" s="183"/>
      <c r="E32" s="183"/>
      <c r="F32" s="183"/>
      <c r="G32" s="183"/>
    </row>
    <row r="33" spans="2:9" ht="15">
      <c r="B33" s="205"/>
      <c r="C33" s="183"/>
      <c r="D33" s="183"/>
      <c r="E33" s="209"/>
      <c r="F33" s="183"/>
      <c r="G33" s="196"/>
      <c r="I33" s="173">
        <f>G15</f>
        <v>4500000</v>
      </c>
    </row>
    <row r="34" spans="2:10" ht="15">
      <c r="B34" s="188"/>
      <c r="C34" s="183"/>
      <c r="D34" s="183"/>
      <c r="E34" s="209"/>
      <c r="F34" s="208"/>
      <c r="G34" s="183"/>
      <c r="I34" s="193"/>
      <c r="J34" s="193"/>
    </row>
    <row r="35" spans="2:10" s="183" customFormat="1" ht="15">
      <c r="B35" s="188"/>
      <c r="E35" s="209"/>
      <c r="I35" s="191"/>
      <c r="J35" s="191"/>
    </row>
    <row r="36" spans="2:10" s="183" customFormat="1" ht="15">
      <c r="B36" s="205"/>
      <c r="D36" s="196"/>
      <c r="E36" s="196"/>
      <c r="F36" s="338"/>
      <c r="H36" s="337"/>
      <c r="I36" s="337"/>
      <c r="J36" s="337"/>
    </row>
    <row r="37" spans="2:10" s="183" customFormat="1" ht="15">
      <c r="B37" s="205"/>
      <c r="E37" s="209"/>
      <c r="F37" s="339"/>
      <c r="H37" s="337"/>
      <c r="I37" s="337"/>
      <c r="J37" s="337"/>
    </row>
    <row r="38" spans="2:5" s="183" customFormat="1" ht="15">
      <c r="B38" s="205"/>
      <c r="D38" s="206"/>
      <c r="E38" s="206"/>
    </row>
    <row r="39" spans="2:5" s="183" customFormat="1" ht="15">
      <c r="B39" s="205"/>
      <c r="D39" s="206"/>
      <c r="E39" s="207"/>
    </row>
    <row r="40" spans="2:7" s="183" customFormat="1" ht="15">
      <c r="B40" s="188"/>
      <c r="D40" s="206"/>
      <c r="E40" s="207"/>
      <c r="F40" s="208"/>
      <c r="G40" s="208"/>
    </row>
    <row r="41" spans="2:5" s="183" customFormat="1" ht="15">
      <c r="B41" s="188"/>
      <c r="D41" s="206"/>
      <c r="E41" s="207"/>
    </row>
    <row r="42" spans="2:5" s="183" customFormat="1" ht="15">
      <c r="B42" s="205"/>
      <c r="D42" s="206"/>
      <c r="E42" s="207"/>
    </row>
    <row r="43" s="183" customFormat="1" ht="15">
      <c r="B43" s="188"/>
    </row>
    <row r="44" s="183" customFormat="1" ht="15">
      <c r="B44" s="188"/>
    </row>
    <row r="45" spans="2:6" s="183" customFormat="1" ht="15">
      <c r="B45" s="205"/>
      <c r="E45" s="209"/>
      <c r="F45" s="339"/>
    </row>
    <row r="46" spans="2:5" s="183" customFormat="1" ht="15">
      <c r="B46" s="205"/>
      <c r="D46" s="206"/>
      <c r="E46" s="207"/>
    </row>
    <row r="47" spans="2:5" s="183" customFormat="1" ht="15">
      <c r="B47" s="188"/>
      <c r="D47" s="340"/>
      <c r="E47" s="340"/>
    </row>
    <row r="48" spans="2:7" s="183" customFormat="1" ht="15">
      <c r="B48" s="188"/>
      <c r="E48" s="209"/>
      <c r="G48" s="199"/>
    </row>
    <row r="49" spans="2:7" s="183" customFormat="1" ht="15">
      <c r="B49" s="205"/>
      <c r="E49" s="209"/>
      <c r="F49" s="208"/>
      <c r="G49" s="199"/>
    </row>
    <row r="50" spans="2:7" s="183" customFormat="1" ht="15">
      <c r="B50" s="188"/>
      <c r="D50" s="196"/>
      <c r="E50" s="196"/>
      <c r="F50" s="341"/>
      <c r="G50" s="199"/>
    </row>
    <row r="51" spans="2:7" s="183" customFormat="1" ht="15">
      <c r="B51" s="188"/>
      <c r="D51" s="196"/>
      <c r="E51" s="196"/>
      <c r="F51" s="341"/>
      <c r="G51" s="199"/>
    </row>
    <row r="52" spans="2:7" s="183" customFormat="1" ht="15">
      <c r="B52" s="188"/>
      <c r="G52" s="199"/>
    </row>
    <row r="53" spans="2:10" s="183" customFormat="1" ht="15">
      <c r="B53" s="342"/>
      <c r="D53" s="205"/>
      <c r="G53" s="343"/>
      <c r="H53" s="200"/>
      <c r="I53" s="190"/>
      <c r="J53" s="190"/>
    </row>
    <row r="54" spans="4:7" s="183" customFormat="1" ht="15">
      <c r="D54" s="344"/>
      <c r="E54" s="345"/>
      <c r="F54" s="346"/>
      <c r="G54" s="347"/>
    </row>
    <row r="55" s="183" customFormat="1" ht="15">
      <c r="B55" s="205"/>
    </row>
    <row r="56" s="183" customFormat="1" ht="15">
      <c r="B56" s="205"/>
    </row>
    <row r="57" s="183" customFormat="1" ht="15">
      <c r="B57" s="188"/>
    </row>
    <row r="58" s="183" customFormat="1" ht="15">
      <c r="B58" s="188"/>
    </row>
    <row r="59" s="183" customFormat="1" ht="15">
      <c r="B59" s="205"/>
    </row>
    <row r="60" s="183" customFormat="1" ht="15">
      <c r="B60" s="188"/>
    </row>
    <row r="61" spans="2:8" s="183" customFormat="1" ht="15">
      <c r="B61" s="188"/>
      <c r="H61" s="348"/>
    </row>
    <row r="62" spans="2:10" s="183" customFormat="1" ht="15">
      <c r="B62" s="205"/>
      <c r="I62" s="208"/>
      <c r="J62" s="208"/>
    </row>
    <row r="63" spans="2:7" s="183" customFormat="1" ht="15">
      <c r="B63" s="205"/>
      <c r="D63" s="196"/>
      <c r="E63" s="196"/>
      <c r="G63" s="206"/>
    </row>
    <row r="64" spans="2:6" s="183" customFormat="1" ht="15">
      <c r="B64" s="205"/>
      <c r="D64" s="206"/>
      <c r="E64" s="206"/>
      <c r="F64" s="336"/>
    </row>
    <row r="65" spans="2:7" s="183" customFormat="1" ht="15">
      <c r="B65" s="205"/>
      <c r="F65" s="336"/>
      <c r="G65" s="196"/>
    </row>
    <row r="66" spans="2:7" s="183" customFormat="1" ht="15">
      <c r="B66" s="205"/>
      <c r="D66" s="206"/>
      <c r="E66" s="206"/>
      <c r="G66" s="206"/>
    </row>
    <row r="67" spans="2:7" s="183" customFormat="1" ht="15">
      <c r="B67" s="205"/>
      <c r="D67" s="206"/>
      <c r="E67" s="206"/>
      <c r="G67" s="206"/>
    </row>
    <row r="68" spans="2:7" s="183" customFormat="1" ht="15">
      <c r="B68" s="188"/>
      <c r="D68" s="206"/>
      <c r="E68" s="206"/>
      <c r="G68" s="206"/>
    </row>
    <row r="69" spans="2:7" s="183" customFormat="1" ht="15">
      <c r="B69" s="188"/>
      <c r="D69" s="206"/>
      <c r="E69" s="206"/>
      <c r="G69" s="206"/>
    </row>
    <row r="70" spans="2:8" s="183" customFormat="1" ht="15">
      <c r="B70" s="205"/>
      <c r="D70" s="206"/>
      <c r="E70" s="207"/>
      <c r="G70" s="206"/>
      <c r="H70" s="206"/>
    </row>
    <row r="71" s="183" customFormat="1" ht="15">
      <c r="B71" s="188"/>
    </row>
    <row r="72" spans="2:10" s="183" customFormat="1" ht="15">
      <c r="B72" s="188"/>
      <c r="H72" s="196"/>
      <c r="I72" s="208"/>
      <c r="J72" s="208"/>
    </row>
    <row r="73" spans="2:8" s="183" customFormat="1" ht="15">
      <c r="B73" s="205"/>
      <c r="E73" s="209"/>
      <c r="H73" s="206"/>
    </row>
    <row r="74" spans="2:8" s="183" customFormat="1" ht="15">
      <c r="B74" s="205"/>
      <c r="E74" s="209"/>
      <c r="H74" s="206"/>
    </row>
    <row r="75" spans="2:8" s="183" customFormat="1" ht="15">
      <c r="B75" s="205"/>
      <c r="D75" s="206"/>
      <c r="E75" s="206"/>
      <c r="H75" s="206"/>
    </row>
    <row r="76" spans="2:10" s="183" customFormat="1" ht="15">
      <c r="B76" s="188"/>
      <c r="D76" s="340"/>
      <c r="E76" s="340"/>
      <c r="G76" s="340"/>
      <c r="H76" s="206"/>
      <c r="I76" s="208"/>
      <c r="J76" s="208"/>
    </row>
    <row r="77" spans="2:8" s="183" customFormat="1" ht="15">
      <c r="B77" s="188"/>
      <c r="D77" s="340"/>
      <c r="E77" s="340"/>
      <c r="G77" s="340"/>
      <c r="H77" s="206"/>
    </row>
    <row r="78" spans="2:5" s="183" customFormat="1" ht="15">
      <c r="B78" s="205"/>
      <c r="E78" s="209"/>
    </row>
    <row r="79" spans="2:10" s="183" customFormat="1" ht="15">
      <c r="B79" s="188"/>
      <c r="D79" s="191"/>
      <c r="E79" s="209"/>
      <c r="I79" s="208"/>
      <c r="J79" s="208"/>
    </row>
    <row r="80" spans="2:10" s="183" customFormat="1" ht="15">
      <c r="B80" s="188"/>
      <c r="D80" s="191"/>
      <c r="E80" s="209"/>
      <c r="H80" s="209"/>
      <c r="I80" s="208"/>
      <c r="J80" s="208"/>
    </row>
    <row r="81" spans="2:7" s="183" customFormat="1" ht="15">
      <c r="B81" s="349"/>
      <c r="D81" s="350"/>
      <c r="E81" s="351"/>
      <c r="F81" s="350"/>
      <c r="G81" s="350"/>
    </row>
    <row r="82" spans="2:12" s="183" customFormat="1" ht="15">
      <c r="B82" s="342"/>
      <c r="C82" s="342"/>
      <c r="L82" s="200"/>
    </row>
    <row r="83" spans="3:8" s="183" customFormat="1" ht="15">
      <c r="C83" s="189"/>
      <c r="D83" s="189"/>
      <c r="E83" s="189"/>
      <c r="F83" s="189"/>
      <c r="G83" s="189"/>
      <c r="H83" s="340"/>
    </row>
    <row r="84" spans="2:11" s="183" customFormat="1" ht="15">
      <c r="B84" s="352"/>
      <c r="H84" s="340"/>
      <c r="K84" s="199"/>
    </row>
    <row r="85" spans="2:10" s="183" customFormat="1" ht="15">
      <c r="B85" s="352"/>
      <c r="H85" s="209"/>
      <c r="I85" s="208"/>
      <c r="J85" s="208"/>
    </row>
    <row r="86" spans="2:10" s="183" customFormat="1" ht="15">
      <c r="B86" s="352"/>
      <c r="H86" s="191"/>
      <c r="I86" s="341"/>
      <c r="J86" s="341"/>
    </row>
    <row r="87" spans="2:10" s="183" customFormat="1" ht="15">
      <c r="B87" s="352"/>
      <c r="H87" s="191"/>
      <c r="I87" s="341"/>
      <c r="J87" s="341"/>
    </row>
    <row r="88" spans="2:8" s="183" customFormat="1" ht="15">
      <c r="B88" s="352"/>
      <c r="H88" s="350"/>
    </row>
    <row r="89" spans="2:11" s="183" customFormat="1" ht="15">
      <c r="B89" s="352"/>
      <c r="I89" s="196"/>
      <c r="J89" s="196"/>
      <c r="K89" s="191"/>
    </row>
    <row r="90" spans="2:11" s="183" customFormat="1" ht="15">
      <c r="B90" s="352"/>
      <c r="K90" s="191"/>
    </row>
    <row r="91" spans="2:11" s="183" customFormat="1" ht="15">
      <c r="B91" s="352"/>
      <c r="K91" s="191"/>
    </row>
    <row r="92" spans="2:11" s="183" customFormat="1" ht="15">
      <c r="B92" s="352"/>
      <c r="K92" s="353"/>
    </row>
    <row r="93" s="183" customFormat="1" ht="15">
      <c r="B93" s="352"/>
    </row>
    <row r="94" spans="2:7" s="183" customFormat="1" ht="15">
      <c r="B94" s="352"/>
      <c r="C94" s="200"/>
      <c r="D94" s="200"/>
      <c r="E94" s="200"/>
      <c r="F94" s="200"/>
      <c r="G94" s="200"/>
    </row>
    <row r="95" s="183" customFormat="1" ht="15">
      <c r="B95" s="188"/>
    </row>
    <row r="96" s="183" customFormat="1" ht="15">
      <c r="B96" s="354"/>
    </row>
    <row r="97" spans="2:4" s="183" customFormat="1" ht="15">
      <c r="B97" s="355"/>
      <c r="C97" s="356"/>
      <c r="D97" s="356"/>
    </row>
    <row r="98" spans="2:4" s="183" customFormat="1" ht="15">
      <c r="B98" s="357"/>
      <c r="C98" s="206"/>
      <c r="D98" s="206"/>
    </row>
    <row r="99" spans="2:10" s="183" customFormat="1" ht="15">
      <c r="B99" s="355"/>
      <c r="C99" s="356"/>
      <c r="D99" s="356"/>
      <c r="E99" s="358"/>
      <c r="F99" s="358"/>
      <c r="G99" s="356"/>
      <c r="I99" s="210"/>
      <c r="J99" s="210"/>
    </row>
    <row r="100" spans="2:7" s="183" customFormat="1" ht="15">
      <c r="B100" s="359"/>
      <c r="C100" s="360"/>
      <c r="D100" s="360"/>
      <c r="G100" s="360"/>
    </row>
    <row r="101" s="183" customFormat="1" ht="15"/>
    <row r="102" spans="3:4" s="183" customFormat="1" ht="15">
      <c r="C102" s="189"/>
      <c r="D102" s="189"/>
    </row>
    <row r="103" spans="2:4" s="183" customFormat="1" ht="15">
      <c r="B103" s="352"/>
      <c r="C103" s="196"/>
      <c r="D103" s="196"/>
    </row>
    <row r="104" spans="2:4" s="183" customFormat="1" ht="15">
      <c r="B104" s="352"/>
      <c r="C104" s="196"/>
      <c r="D104" s="196"/>
    </row>
    <row r="105" spans="2:4" s="183" customFormat="1" ht="15">
      <c r="B105" s="352"/>
      <c r="C105" s="196"/>
      <c r="D105" s="196"/>
    </row>
    <row r="106" spans="2:4" s="183" customFormat="1" ht="15">
      <c r="B106" s="352"/>
      <c r="C106" s="196"/>
      <c r="D106" s="196"/>
    </row>
    <row r="107" spans="2:4" s="183" customFormat="1" ht="15">
      <c r="B107" s="352"/>
      <c r="C107" s="196"/>
      <c r="D107" s="196"/>
    </row>
    <row r="108" spans="2:4" s="183" customFormat="1" ht="15">
      <c r="B108" s="352"/>
      <c r="C108" s="196"/>
      <c r="D108" s="196"/>
    </row>
    <row r="109" spans="2:4" s="183" customFormat="1" ht="15">
      <c r="B109" s="352"/>
      <c r="C109" s="361"/>
      <c r="D109" s="361"/>
    </row>
    <row r="110" spans="2:4" s="183" customFormat="1" ht="15">
      <c r="B110" s="352"/>
      <c r="C110" s="361"/>
      <c r="D110" s="361"/>
    </row>
    <row r="111" spans="2:4" s="183" customFormat="1" ht="15">
      <c r="B111" s="352"/>
      <c r="C111" s="361"/>
      <c r="D111" s="361"/>
    </row>
    <row r="112" spans="2:4" s="183" customFormat="1" ht="15">
      <c r="B112" s="352"/>
      <c r="C112" s="361"/>
      <c r="D112" s="361"/>
    </row>
    <row r="113" spans="2:4" s="183" customFormat="1" ht="15">
      <c r="B113" s="352"/>
      <c r="C113" s="362"/>
      <c r="D113" s="362"/>
    </row>
    <row r="114" spans="2:4" s="183" customFormat="1" ht="15">
      <c r="B114" s="188"/>
      <c r="C114" s="196"/>
      <c r="D114" s="196"/>
    </row>
    <row r="115" s="183" customFormat="1" ht="15"/>
    <row r="116" s="183" customFormat="1" ht="15"/>
    <row r="117" s="183" customFormat="1" ht="15"/>
    <row r="118" s="183" customFormat="1" ht="15"/>
    <row r="119" s="183" customFormat="1" ht="15"/>
    <row r="120" s="183" customFormat="1" ht="15"/>
    <row r="121" s="183" customFormat="1" ht="15"/>
    <row r="122" s="183" customFormat="1" ht="15"/>
    <row r="123" s="183" customFormat="1" ht="15"/>
    <row r="124" s="183" customFormat="1" ht="15"/>
    <row r="125" s="183" customFormat="1" ht="15"/>
    <row r="126" s="183" customFormat="1" ht="15"/>
    <row r="127" s="183" customFormat="1" ht="15"/>
    <row r="128" s="183" customFormat="1" ht="15"/>
    <row r="129" s="183" customFormat="1" ht="15"/>
    <row r="130" s="183" customFormat="1" ht="15"/>
    <row r="131" s="183" customFormat="1" ht="15"/>
    <row r="132" s="183" customFormat="1" ht="15"/>
    <row r="133" s="183" customFormat="1" ht="15"/>
    <row r="134" s="183" customFormat="1" ht="15"/>
    <row r="135" s="183" customFormat="1" ht="15"/>
    <row r="136" s="183" customFormat="1" ht="15"/>
    <row r="137" s="183" customFormat="1" ht="15"/>
    <row r="138" s="183" customFormat="1" ht="15"/>
    <row r="139" s="183" customFormat="1" ht="15"/>
    <row r="140" s="183" customFormat="1" ht="15"/>
    <row r="141" s="183" customFormat="1" ht="15"/>
    <row r="142" s="183" customFormat="1" ht="15"/>
    <row r="143" s="183" customFormat="1" ht="15"/>
    <row r="144" s="183" customFormat="1" ht="15"/>
    <row r="145" s="183" customFormat="1" ht="15"/>
    <row r="146" s="183" customFormat="1" ht="15"/>
    <row r="147" s="183" customFormat="1" ht="15"/>
    <row r="148" s="183" customFormat="1" ht="15"/>
    <row r="149" s="183" customFormat="1" ht="15"/>
    <row r="150" s="183" customFormat="1" ht="15"/>
    <row r="151" s="183" customFormat="1" ht="15"/>
    <row r="152" s="183" customFormat="1" ht="15"/>
    <row r="153" s="183" customFormat="1" ht="15"/>
    <row r="154" s="183" customFormat="1" ht="15"/>
    <row r="155" s="183" customFormat="1" ht="15"/>
    <row r="156" s="183" customFormat="1" ht="15"/>
    <row r="157" s="183" customFormat="1" ht="15"/>
    <row r="158" s="183" customFormat="1" ht="15"/>
    <row r="159" s="183" customFormat="1" ht="15"/>
    <row r="160" s="183" customFormat="1" ht="15"/>
    <row r="161" s="183" customFormat="1" ht="15"/>
    <row r="162" s="183" customFormat="1" ht="15"/>
    <row r="163" s="183" customFormat="1" ht="15"/>
    <row r="164" s="183" customFormat="1" ht="15"/>
    <row r="165" s="183" customFormat="1" ht="15"/>
    <row r="166" s="183" customFormat="1" ht="15"/>
    <row r="167" s="183" customFormat="1" ht="15"/>
    <row r="168" s="183" customFormat="1" ht="15"/>
    <row r="169" s="183" customFormat="1" ht="15"/>
    <row r="170" s="183" customFormat="1" ht="15"/>
    <row r="171" s="183" customFormat="1" ht="15"/>
    <row r="172" s="183" customFormat="1" ht="15"/>
    <row r="173" s="183" customFormat="1" ht="15"/>
    <row r="174" s="183" customFormat="1" ht="15"/>
    <row r="175" s="183" customFormat="1" ht="15"/>
    <row r="176" s="183" customFormat="1" ht="15"/>
    <row r="177" s="183" customFormat="1" ht="15"/>
    <row r="178" s="183" customFormat="1" ht="15"/>
    <row r="179" s="183" customFormat="1" ht="15"/>
    <row r="180" s="183" customFormat="1" ht="15"/>
    <row r="181" s="183" customFormat="1" ht="15"/>
    <row r="182" s="183" customFormat="1" ht="15"/>
    <row r="183" s="183" customFormat="1" ht="15"/>
    <row r="184" s="183" customFormat="1" ht="15"/>
    <row r="185" s="183" customFormat="1" ht="15"/>
    <row r="186" s="183" customFormat="1" ht="15"/>
    <row r="187" s="183" customFormat="1" ht="15"/>
    <row r="188" s="183" customFormat="1" ht="15"/>
    <row r="189" s="183" customFormat="1" ht="15"/>
    <row r="190" s="183" customFormat="1" ht="15"/>
    <row r="191" s="183" customFormat="1" ht="15"/>
    <row r="192" s="183" customFormat="1" ht="15"/>
    <row r="193" s="183" customFormat="1" ht="15"/>
    <row r="194" s="183" customFormat="1" ht="15"/>
    <row r="195" s="183" customFormat="1" ht="15"/>
    <row r="196" s="183" customFormat="1" ht="15"/>
    <row r="197" s="183" customFormat="1" ht="15"/>
    <row r="198" s="183" customFormat="1" ht="15"/>
    <row r="199" s="183" customFormat="1" ht="15"/>
    <row r="200" spans="2:7" s="183" customFormat="1" ht="15">
      <c r="B200" s="173"/>
      <c r="C200" s="173"/>
      <c r="D200" s="173"/>
      <c r="E200" s="173"/>
      <c r="F200" s="173"/>
      <c r="G200" s="173"/>
    </row>
    <row r="201" spans="2:7" s="183" customFormat="1" ht="15">
      <c r="B201" s="173"/>
      <c r="C201" s="173"/>
      <c r="D201" s="173"/>
      <c r="E201" s="173"/>
      <c r="F201" s="173"/>
      <c r="G201" s="173"/>
    </row>
    <row r="202" spans="2:7" s="183" customFormat="1" ht="15">
      <c r="B202" s="173"/>
      <c r="C202" s="173"/>
      <c r="D202" s="173"/>
      <c r="E202" s="173"/>
      <c r="F202" s="173"/>
      <c r="G202" s="173"/>
    </row>
    <row r="203" spans="2:7" s="183" customFormat="1" ht="15">
      <c r="B203" s="173"/>
      <c r="C203" s="173"/>
      <c r="D203" s="173"/>
      <c r="E203" s="173"/>
      <c r="F203" s="173"/>
      <c r="G203" s="173"/>
    </row>
    <row r="204" spans="2:7" s="183" customFormat="1" ht="15">
      <c r="B204" s="173"/>
      <c r="C204" s="173"/>
      <c r="D204" s="173"/>
      <c r="E204" s="173"/>
      <c r="F204" s="173"/>
      <c r="G204" s="173"/>
    </row>
    <row r="205" spans="2:7" s="183" customFormat="1" ht="15">
      <c r="B205" s="173"/>
      <c r="C205" s="173"/>
      <c r="D205" s="173"/>
      <c r="E205" s="173"/>
      <c r="F205" s="173"/>
      <c r="G205" s="173"/>
    </row>
    <row r="206" spans="2:7" s="183" customFormat="1" ht="15">
      <c r="B206" s="173"/>
      <c r="C206" s="173"/>
      <c r="D206" s="173"/>
      <c r="E206" s="173"/>
      <c r="F206" s="173"/>
      <c r="G206" s="173"/>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89"/>
  <sheetViews>
    <sheetView zoomScalePageLayoutView="0" workbookViewId="0" topLeftCell="A1">
      <selection activeCell="D8" sqref="D8"/>
    </sheetView>
  </sheetViews>
  <sheetFormatPr defaultColWidth="9.140625" defaultRowHeight="12.75"/>
  <cols>
    <col min="1" max="1" width="45.00390625" style="0" customWidth="1"/>
    <col min="2" max="2" width="20.28125" style="0" customWidth="1"/>
    <col min="3" max="3" width="14.00390625" style="0" customWidth="1"/>
    <col min="4" max="4" width="20.421875" style="0" customWidth="1"/>
    <col min="5" max="5" width="26.140625" style="0" customWidth="1"/>
    <col min="6" max="6" width="10.421875" style="103" customWidth="1"/>
    <col min="7" max="7" width="17.421875" style="0" customWidth="1"/>
    <col min="8" max="8" width="8.8515625" style="0" customWidth="1"/>
    <col min="9" max="9" width="9.7109375" style="0" bestFit="1" customWidth="1"/>
  </cols>
  <sheetData>
    <row r="1" spans="1:6" ht="15">
      <c r="A1" s="306" t="s">
        <v>380</v>
      </c>
      <c r="B1" s="222"/>
      <c r="C1" s="222"/>
      <c r="D1" s="222"/>
      <c r="E1" s="222"/>
      <c r="F1" s="222"/>
    </row>
    <row r="2" spans="1:6" ht="15">
      <c r="A2" s="306"/>
      <c r="B2" s="222"/>
      <c r="C2" s="222"/>
      <c r="D2" s="222"/>
      <c r="E2" s="222"/>
      <c r="F2" s="222"/>
    </row>
    <row r="3" spans="1:6" ht="12.75">
      <c r="A3" s="316" t="s">
        <v>538</v>
      </c>
      <c r="B3" s="320">
        <f>F19</f>
        <v>0.000990473299878521</v>
      </c>
      <c r="C3" s="222"/>
      <c r="D3" s="222"/>
      <c r="E3" s="222"/>
      <c r="F3" s="222"/>
    </row>
    <row r="4" spans="1:6" ht="12.75">
      <c r="A4" s="316" t="s">
        <v>539</v>
      </c>
      <c r="B4" s="320">
        <f>F59</f>
        <v>0.0008609086581814756</v>
      </c>
      <c r="C4" s="222"/>
      <c r="D4" s="222"/>
      <c r="E4" s="222"/>
      <c r="F4" s="222"/>
    </row>
    <row r="5" spans="1:6" ht="12.75">
      <c r="A5" s="316" t="s">
        <v>540</v>
      </c>
      <c r="B5" s="320">
        <f>'Green Roofs'!D10</f>
        <v>8.754642034925251E-05</v>
      </c>
      <c r="C5" s="222"/>
      <c r="D5" s="222"/>
      <c r="E5" s="222"/>
      <c r="F5" s="222"/>
    </row>
    <row r="6" spans="1:6" ht="12.75">
      <c r="A6" s="316" t="s">
        <v>40</v>
      </c>
      <c r="B6" s="321">
        <f>SUM(B3:B5)</f>
        <v>0.0019389283784092494</v>
      </c>
      <c r="C6" s="30" t="s">
        <v>542</v>
      </c>
      <c r="D6" s="222"/>
      <c r="E6" s="222"/>
      <c r="F6" s="222"/>
    </row>
    <row r="7" spans="1:6" ht="12.75">
      <c r="A7" s="30"/>
      <c r="B7" s="30"/>
      <c r="C7" s="222"/>
      <c r="D7" s="222"/>
      <c r="E7" s="222"/>
      <c r="F7" s="222"/>
    </row>
    <row r="8" spans="1:6" ht="12.75">
      <c r="A8" s="30"/>
      <c r="B8" s="30"/>
      <c r="C8" s="222"/>
      <c r="D8" s="222"/>
      <c r="E8" s="222"/>
      <c r="F8" s="222"/>
    </row>
    <row r="9" spans="1:7" ht="15.75" thickBot="1">
      <c r="A9" s="308" t="s">
        <v>64</v>
      </c>
      <c r="B9" s="224"/>
      <c r="C9" s="224"/>
      <c r="D9" s="224"/>
      <c r="E9" s="224"/>
      <c r="F9" s="230"/>
      <c r="G9" s="103"/>
    </row>
    <row r="10" spans="1:6" ht="12.75">
      <c r="A10" s="225" t="s">
        <v>381</v>
      </c>
      <c r="B10" s="226" t="s">
        <v>382</v>
      </c>
      <c r="C10" s="224"/>
      <c r="D10" s="224"/>
      <c r="E10" s="224"/>
      <c r="F10" s="230"/>
    </row>
    <row r="11" spans="1:6" ht="12.75">
      <c r="A11" s="227" t="s">
        <v>383</v>
      </c>
      <c r="B11" s="228">
        <f>(B16*B31)</f>
        <v>7382.044489675608</v>
      </c>
      <c r="C11" s="230"/>
      <c r="D11" s="230"/>
      <c r="E11" s="230"/>
      <c r="F11" s="230"/>
    </row>
    <row r="12" spans="1:6" ht="12.75">
      <c r="A12" s="227" t="s">
        <v>384</v>
      </c>
      <c r="B12" s="228">
        <f>(B17*B31)</f>
        <v>1107.3066734513413</v>
      </c>
      <c r="C12" s="230"/>
      <c r="D12" s="230"/>
      <c r="E12" s="230"/>
      <c r="F12" s="230"/>
    </row>
    <row r="13" spans="1:6" ht="13.5" thickBot="1">
      <c r="A13" s="229" t="s">
        <v>40</v>
      </c>
      <c r="B13" s="231">
        <f>SUM(B11:B12)</f>
        <v>8489.35116312695</v>
      </c>
      <c r="C13" s="224"/>
      <c r="D13" s="224"/>
      <c r="E13" s="224"/>
      <c r="F13" s="230"/>
    </row>
    <row r="14" spans="1:6" ht="13.5" thickBot="1">
      <c r="A14" s="232"/>
      <c r="B14" s="232"/>
      <c r="C14" s="233"/>
      <c r="D14" s="233"/>
      <c r="E14" s="233"/>
      <c r="F14" s="236"/>
    </row>
    <row r="15" spans="1:5" ht="12.75">
      <c r="A15" s="225" t="s">
        <v>385</v>
      </c>
      <c r="B15" s="226" t="s">
        <v>386</v>
      </c>
      <c r="C15" s="304" t="s">
        <v>513</v>
      </c>
      <c r="D15" s="304" t="s">
        <v>514</v>
      </c>
      <c r="E15" s="304"/>
    </row>
    <row r="16" spans="1:7" ht="12.75">
      <c r="A16" s="227" t="s">
        <v>387</v>
      </c>
      <c r="B16" s="234">
        <f>B34*(1/B35)*B28</f>
        <v>38771242.067623995</v>
      </c>
      <c r="C16" s="230">
        <f>C34*0.33/10</f>
        <v>356594.65901315736</v>
      </c>
      <c r="D16" s="230">
        <f>C18*C31</f>
        <v>763760.9242136353</v>
      </c>
      <c r="E16" s="230" t="s">
        <v>515</v>
      </c>
      <c r="F16" s="294">
        <f>D17</f>
        <v>841.902304896743</v>
      </c>
      <c r="G16" t="s">
        <v>522</v>
      </c>
    </row>
    <row r="17" spans="1:7" ht="12.75">
      <c r="A17" s="227" t="s">
        <v>388</v>
      </c>
      <c r="B17" s="291">
        <f>B34*B36*B28</f>
        <v>5815686.3101436</v>
      </c>
      <c r="C17" s="295">
        <f>C35</f>
        <v>54029.49378987233</v>
      </c>
      <c r="D17" s="230">
        <f>D16*0.00110231131</f>
        <v>841.902304896743</v>
      </c>
      <c r="E17" s="296" t="s">
        <v>516</v>
      </c>
      <c r="F17" s="103">
        <v>8500000</v>
      </c>
      <c r="G17" t="s">
        <v>523</v>
      </c>
    </row>
    <row r="18" spans="1:7" ht="13.5" thickBot="1">
      <c r="A18" s="229" t="s">
        <v>40</v>
      </c>
      <c r="B18" s="231">
        <f>SUM(B16:B17)</f>
        <v>44586928.37776759</v>
      </c>
      <c r="C18" s="305">
        <f>SUM(C16:C17)</f>
        <v>410624.1528030297</v>
      </c>
      <c r="D18" s="230"/>
      <c r="E18" s="230"/>
      <c r="F18" s="315">
        <f>F16/F17</f>
        <v>9.904732998785211E-05</v>
      </c>
      <c r="G18" t="s">
        <v>536</v>
      </c>
    </row>
    <row r="19" spans="1:8" ht="12.75">
      <c r="A19" s="233"/>
      <c r="B19" s="233"/>
      <c r="C19" s="235"/>
      <c r="D19" s="224"/>
      <c r="E19" s="224"/>
      <c r="F19" s="322">
        <f>F18*10</f>
        <v>0.000990473299878521</v>
      </c>
      <c r="G19" s="323" t="s">
        <v>537</v>
      </c>
      <c r="H19" s="103"/>
    </row>
    <row r="20" spans="1:6" ht="12.75">
      <c r="A20" s="307" t="s">
        <v>0</v>
      </c>
      <c r="B20" s="307"/>
      <c r="C20" s="307"/>
      <c r="D20" s="307"/>
      <c r="E20" s="307"/>
      <c r="F20" s="271"/>
    </row>
    <row r="21" spans="1:6" ht="12.75">
      <c r="A21" s="224" t="s">
        <v>389</v>
      </c>
      <c r="B21" s="224"/>
      <c r="C21" s="224"/>
      <c r="D21" s="236"/>
      <c r="E21" s="236"/>
      <c r="F21" s="236"/>
    </row>
    <row r="22" spans="1:6" ht="12.75">
      <c r="A22" s="224" t="s">
        <v>390</v>
      </c>
      <c r="B22" s="224"/>
      <c r="C22" s="224"/>
      <c r="D22" s="236"/>
      <c r="E22" s="236"/>
      <c r="F22" s="236"/>
    </row>
    <row r="23" spans="1:6" ht="12.75">
      <c r="A23" s="224" t="s">
        <v>391</v>
      </c>
      <c r="B23" s="224"/>
      <c r="C23" s="224"/>
      <c r="D23" s="236"/>
      <c r="E23" s="236"/>
      <c r="F23" s="236"/>
    </row>
    <row r="24" spans="1:6" ht="12.75">
      <c r="A24" s="224" t="s">
        <v>392</v>
      </c>
      <c r="B24" s="224"/>
      <c r="C24" s="224"/>
      <c r="D24" s="236"/>
      <c r="E24" s="236"/>
      <c r="F24" s="236"/>
    </row>
    <row r="25" spans="1:6" ht="12.75">
      <c r="A25" s="224"/>
      <c r="B25" s="224"/>
      <c r="C25" s="224"/>
      <c r="D25" s="236"/>
      <c r="E25" s="236"/>
      <c r="F25" s="236"/>
    </row>
    <row r="26" spans="1:6" ht="12.75">
      <c r="A26" s="224"/>
      <c r="B26" s="224"/>
      <c r="C26" s="224"/>
      <c r="D26" s="236"/>
      <c r="E26" s="236"/>
      <c r="F26" s="272"/>
    </row>
    <row r="27" spans="1:6" ht="12.75">
      <c r="A27" s="237" t="s">
        <v>393</v>
      </c>
      <c r="B27" s="238"/>
      <c r="C27" s="224"/>
      <c r="D27" s="224"/>
      <c r="E27" s="224"/>
      <c r="F27" s="236"/>
    </row>
    <row r="28" spans="1:6" ht="12.75">
      <c r="A28" s="239" t="s">
        <v>394</v>
      </c>
      <c r="B28" s="240">
        <v>10</v>
      </c>
      <c r="C28" s="48"/>
      <c r="D28" s="48"/>
      <c r="E28" s="48"/>
      <c r="F28" s="236"/>
    </row>
    <row r="29" spans="1:5" ht="12.75">
      <c r="A29" s="69"/>
      <c r="B29" s="242"/>
      <c r="C29" s="48"/>
      <c r="D29" s="48"/>
      <c r="E29" s="48"/>
    </row>
    <row r="30" spans="1:6" ht="12.75">
      <c r="A30" s="237" t="s">
        <v>378</v>
      </c>
      <c r="B30" s="238"/>
      <c r="C30" s="243"/>
      <c r="D30" s="48"/>
      <c r="E30" s="48"/>
      <c r="F30" s="241"/>
    </row>
    <row r="31" spans="1:7" ht="12.75">
      <c r="A31" s="244" t="s">
        <v>395</v>
      </c>
      <c r="B31" s="103">
        <v>0.0001904</v>
      </c>
      <c r="C31" s="290">
        <v>1.86</v>
      </c>
      <c r="D31" s="131" t="s">
        <v>510</v>
      </c>
      <c r="E31" s="289"/>
      <c r="F31" s="273"/>
      <c r="G31" s="103"/>
    </row>
    <row r="32" spans="1:7" ht="12.75">
      <c r="A32" s="69"/>
      <c r="B32" s="69"/>
      <c r="C32" s="69"/>
      <c r="D32" s="48"/>
      <c r="E32" s="48"/>
      <c r="F32" s="273"/>
      <c r="G32" s="103"/>
    </row>
    <row r="33" spans="1:6" ht="12.75">
      <c r="A33" s="237" t="s">
        <v>396</v>
      </c>
      <c r="B33" s="238"/>
      <c r="C33" s="69"/>
      <c r="D33" s="48"/>
      <c r="E33" s="48"/>
      <c r="F33" s="273"/>
    </row>
    <row r="34" spans="1:6" ht="12.75">
      <c r="A34" s="245" t="s">
        <v>397</v>
      </c>
      <c r="B34" s="246">
        <f>'[3]Cool Roof (Residential)'!D44</f>
        <v>116313726.202872</v>
      </c>
      <c r="C34" s="288">
        <f>B34*0.09290304</f>
        <v>10805898.757974466</v>
      </c>
      <c r="D34" s="289" t="s">
        <v>511</v>
      </c>
      <c r="E34" s="48"/>
      <c r="F34" s="273"/>
    </row>
    <row r="35" spans="1:6" ht="12.75">
      <c r="A35" s="245" t="s">
        <v>398</v>
      </c>
      <c r="B35" s="246">
        <v>30</v>
      </c>
      <c r="C35" s="289">
        <f>C34*B36</f>
        <v>54029.49378987233</v>
      </c>
      <c r="D35" s="289" t="s">
        <v>512</v>
      </c>
      <c r="E35" s="48"/>
      <c r="F35" s="236"/>
    </row>
    <row r="36" spans="1:6" ht="12.75">
      <c r="A36" s="239" t="s">
        <v>399</v>
      </c>
      <c r="B36" s="247">
        <v>0.005</v>
      </c>
      <c r="C36" s="69"/>
      <c r="D36" s="48"/>
      <c r="E36" s="48"/>
      <c r="F36" s="241"/>
    </row>
    <row r="37" spans="1:6" ht="12.75">
      <c r="A37" s="48"/>
      <c r="B37" s="48"/>
      <c r="C37" s="48"/>
      <c r="D37" s="48"/>
      <c r="E37" s="48"/>
      <c r="F37" s="272"/>
    </row>
    <row r="38" spans="1:6" ht="12.75">
      <c r="A38" s="237" t="s">
        <v>400</v>
      </c>
      <c r="B38" s="251"/>
      <c r="C38" s="251"/>
      <c r="D38" s="251"/>
      <c r="E38" s="238"/>
      <c r="F38" s="273"/>
    </row>
    <row r="39" spans="1:6" ht="12.75">
      <c r="A39" s="252" t="s">
        <v>401</v>
      </c>
      <c r="B39" s="253" t="s">
        <v>402</v>
      </c>
      <c r="C39" s="254" t="s">
        <v>37</v>
      </c>
      <c r="D39" s="255" t="s">
        <v>403</v>
      </c>
      <c r="E39" s="256" t="s">
        <v>404</v>
      </c>
      <c r="F39" s="273"/>
    </row>
    <row r="40" spans="1:6" ht="12.75">
      <c r="A40" s="257" t="s">
        <v>64</v>
      </c>
      <c r="B40" s="258" t="s">
        <v>405</v>
      </c>
      <c r="C40" s="259">
        <v>79816</v>
      </c>
      <c r="D40" s="260">
        <v>116313726.202872</v>
      </c>
      <c r="E40" s="261">
        <f aca="true" t="shared" si="0" ref="E40:E45">D40/C40</f>
        <v>1457.273306140022</v>
      </c>
      <c r="F40" s="273"/>
    </row>
    <row r="41" spans="1:6" ht="12.75">
      <c r="A41" s="257" t="s">
        <v>379</v>
      </c>
      <c r="B41" s="258" t="s">
        <v>406</v>
      </c>
      <c r="C41" s="259">
        <v>3991</v>
      </c>
      <c r="D41" s="260">
        <v>29570021.73978</v>
      </c>
      <c r="E41" s="261">
        <f t="shared" si="0"/>
        <v>7409.176081127537</v>
      </c>
      <c r="F41" s="273"/>
    </row>
    <row r="42" spans="1:6" ht="12.75">
      <c r="A42" s="257" t="s">
        <v>407</v>
      </c>
      <c r="B42" s="258" t="s">
        <v>408</v>
      </c>
      <c r="C42" s="259">
        <v>2761</v>
      </c>
      <c r="D42" s="260">
        <v>6650190.045319</v>
      </c>
      <c r="E42" s="261">
        <f t="shared" si="0"/>
        <v>2408.616459731619</v>
      </c>
      <c r="F42" s="273"/>
    </row>
    <row r="43" spans="1:6" ht="12.75">
      <c r="A43" s="257" t="s">
        <v>409</v>
      </c>
      <c r="B43" s="258" t="s">
        <v>410</v>
      </c>
      <c r="C43" s="259">
        <v>3199</v>
      </c>
      <c r="D43" s="260">
        <v>36507697.233027</v>
      </c>
      <c r="E43" s="261">
        <f t="shared" si="0"/>
        <v>11412.221704603628</v>
      </c>
      <c r="F43" s="273"/>
    </row>
    <row r="44" spans="1:6" ht="12.75">
      <c r="A44" s="257" t="s">
        <v>411</v>
      </c>
      <c r="B44" s="258" t="s">
        <v>412</v>
      </c>
      <c r="C44" s="259">
        <v>1794</v>
      </c>
      <c r="D44" s="260">
        <v>23856288.836797</v>
      </c>
      <c r="E44" s="261">
        <f t="shared" si="0"/>
        <v>13297.81986443534</v>
      </c>
      <c r="F44" s="273"/>
    </row>
    <row r="45" spans="1:6" ht="12.75">
      <c r="A45" s="262" t="s">
        <v>413</v>
      </c>
      <c r="B45" s="263" t="s">
        <v>414</v>
      </c>
      <c r="C45" s="264">
        <v>1395</v>
      </c>
      <c r="D45" s="265">
        <v>4514432.431914</v>
      </c>
      <c r="E45" s="266">
        <f t="shared" si="0"/>
        <v>3236.1522809419353</v>
      </c>
      <c r="F45" s="273"/>
    </row>
    <row r="46" spans="1:6" ht="12.75">
      <c r="A46" s="258"/>
      <c r="B46" s="258"/>
      <c r="C46" s="259"/>
      <c r="D46" s="260"/>
      <c r="E46" s="260"/>
      <c r="F46" s="273"/>
    </row>
    <row r="47" ht="12.75">
      <c r="F47" s="273"/>
    </row>
    <row r="48" ht="16.5" thickBot="1">
      <c r="A48" s="309" t="s">
        <v>379</v>
      </c>
    </row>
    <row r="49" spans="1:5" ht="12.75">
      <c r="A49" s="225" t="s">
        <v>415</v>
      </c>
      <c r="B49" s="226" t="s">
        <v>416</v>
      </c>
      <c r="C49" s="224"/>
      <c r="D49" s="224"/>
      <c r="E49" s="224"/>
    </row>
    <row r="50" spans="1:7" ht="12.75">
      <c r="A50" s="227" t="s">
        <v>417</v>
      </c>
      <c r="B50" s="228">
        <f>(B55*B70)</f>
        <v>6416.393068871256</v>
      </c>
      <c r="C50" s="230"/>
      <c r="D50" s="230"/>
      <c r="E50" s="230"/>
      <c r="G50" s="294"/>
    </row>
    <row r="51" spans="1:7" ht="12.75">
      <c r="A51" s="227" t="s">
        <v>418</v>
      </c>
      <c r="B51" s="228">
        <f>(B56*B70)</f>
        <v>962.4589603306883</v>
      </c>
      <c r="C51" s="230"/>
      <c r="D51" s="230"/>
      <c r="E51" s="230"/>
      <c r="G51" s="103"/>
    </row>
    <row r="52" spans="1:9" ht="13.5" thickBot="1">
      <c r="A52" s="229" t="s">
        <v>40</v>
      </c>
      <c r="B52" s="231">
        <f>SUM(B50:B51)</f>
        <v>7378.852029201945</v>
      </c>
      <c r="C52" s="224"/>
      <c r="D52" s="224"/>
      <c r="E52" s="224"/>
      <c r="G52" s="297"/>
      <c r="I52" s="275"/>
    </row>
    <row r="53" spans="1:5" ht="13.5" thickBot="1">
      <c r="A53" s="232"/>
      <c r="B53" s="232"/>
      <c r="C53" s="233"/>
      <c r="D53" s="233"/>
      <c r="E53" s="233"/>
    </row>
    <row r="54" spans="1:5" ht="12.75">
      <c r="A54" s="225" t="s">
        <v>419</v>
      </c>
      <c r="B54" s="226" t="s">
        <v>420</v>
      </c>
      <c r="C54" s="302" t="s">
        <v>513</v>
      </c>
      <c r="D54" s="302" t="s">
        <v>514</v>
      </c>
      <c r="E54" s="303"/>
    </row>
    <row r="55" spans="1:5" ht="12.75">
      <c r="A55" s="227" t="s">
        <v>421</v>
      </c>
      <c r="B55" s="234">
        <f>B73*(1/B74)*B67</f>
        <v>33699543.428945675</v>
      </c>
      <c r="C55" s="230">
        <f>C73*0.33/10</f>
        <v>309948.2130849466</v>
      </c>
      <c r="D55" s="230">
        <f>C57*C70</f>
        <v>663852.7182073948</v>
      </c>
      <c r="E55" s="103" t="s">
        <v>515</v>
      </c>
    </row>
    <row r="56" spans="1:7" ht="12.75">
      <c r="A56" s="227" t="s">
        <v>422</v>
      </c>
      <c r="B56" s="234">
        <f>B73*B75*B67</f>
        <v>5054931.514341851</v>
      </c>
      <c r="C56" s="298">
        <f>C74</f>
        <v>46961.85046741615</v>
      </c>
      <c r="D56" s="230">
        <f>D55*0.00110231131</f>
        <v>731.7723594542542</v>
      </c>
      <c r="E56" s="103" t="s">
        <v>516</v>
      </c>
      <c r="F56" s="294">
        <f>D56</f>
        <v>731.7723594542542</v>
      </c>
      <c r="G56" t="s">
        <v>522</v>
      </c>
    </row>
    <row r="57" spans="1:7" ht="13.5" thickBot="1">
      <c r="A57" s="229" t="s">
        <v>40</v>
      </c>
      <c r="B57" s="248">
        <f>SUM(B55:B56)</f>
        <v>38754474.94328753</v>
      </c>
      <c r="C57" s="230">
        <f>SUM(C55:C56)</f>
        <v>356910.0635523628</v>
      </c>
      <c r="D57" s="230"/>
      <c r="E57" s="103"/>
      <c r="F57" s="103">
        <v>8500000</v>
      </c>
      <c r="G57" t="s">
        <v>523</v>
      </c>
    </row>
    <row r="58" spans="1:7" ht="12.75">
      <c r="A58" s="233"/>
      <c r="B58" s="233"/>
      <c r="C58" s="235"/>
      <c r="D58" s="224"/>
      <c r="E58" s="224"/>
      <c r="F58" s="315">
        <f>F56/F57</f>
        <v>8.609086581814756E-05</v>
      </c>
      <c r="G58" t="s">
        <v>536</v>
      </c>
    </row>
    <row r="59" spans="1:8" ht="12.75">
      <c r="A59" s="307" t="s">
        <v>1</v>
      </c>
      <c r="B59" s="307"/>
      <c r="C59" s="307"/>
      <c r="D59" s="307"/>
      <c r="E59" s="307"/>
      <c r="F59" s="317">
        <f>F58*10</f>
        <v>0.0008609086581814756</v>
      </c>
      <c r="G59" s="168" t="s">
        <v>537</v>
      </c>
      <c r="H59" s="103"/>
    </row>
    <row r="60" spans="1:5" ht="12.75">
      <c r="A60" s="224" t="s">
        <v>423</v>
      </c>
      <c r="B60" s="224"/>
      <c r="C60" s="224"/>
      <c r="D60" s="236"/>
      <c r="E60" s="236"/>
    </row>
    <row r="61" spans="1:5" ht="12.75">
      <c r="A61" s="224" t="s">
        <v>424</v>
      </c>
      <c r="B61" s="224"/>
      <c r="C61" s="224"/>
      <c r="D61" s="236"/>
      <c r="E61" s="236"/>
    </row>
    <row r="62" spans="1:5" ht="12.75">
      <c r="A62" s="224" t="s">
        <v>425</v>
      </c>
      <c r="B62" s="224"/>
      <c r="C62" s="224"/>
      <c r="D62" s="236"/>
      <c r="E62" s="236"/>
    </row>
    <row r="63" spans="1:5" ht="12.75">
      <c r="A63" s="224" t="s">
        <v>426</v>
      </c>
      <c r="B63" s="224"/>
      <c r="C63" s="224"/>
      <c r="D63" s="236"/>
      <c r="E63" s="236"/>
    </row>
    <row r="64" spans="1:5" ht="12.75">
      <c r="A64" s="224"/>
      <c r="B64" s="224"/>
      <c r="C64" s="224"/>
      <c r="D64" s="236"/>
      <c r="E64" s="236"/>
    </row>
    <row r="65" spans="1:5" ht="12.75">
      <c r="A65" s="224"/>
      <c r="B65" s="224"/>
      <c r="C65" s="224"/>
      <c r="D65" s="236"/>
      <c r="E65" s="236"/>
    </row>
    <row r="66" spans="1:5" ht="12.75">
      <c r="A66" s="237" t="s">
        <v>427</v>
      </c>
      <c r="B66" s="238"/>
      <c r="C66" s="224"/>
      <c r="D66" s="224"/>
      <c r="E66" s="224"/>
    </row>
    <row r="67" spans="1:5" ht="12.75">
      <c r="A67" s="239" t="s">
        <v>428</v>
      </c>
      <c r="B67" s="299">
        <v>10</v>
      </c>
      <c r="C67" s="48"/>
      <c r="D67" s="48"/>
      <c r="E67" s="48"/>
    </row>
    <row r="68" spans="1:5" ht="12.75">
      <c r="A68" s="69"/>
      <c r="B68" s="242"/>
      <c r="C68" s="48"/>
      <c r="D68" s="48"/>
      <c r="E68" s="48"/>
    </row>
    <row r="69" spans="1:5" ht="12.75">
      <c r="A69" s="237" t="s">
        <v>378</v>
      </c>
      <c r="B69" s="238"/>
      <c r="C69" s="243"/>
      <c r="D69" s="48"/>
      <c r="E69" s="48"/>
    </row>
    <row r="70" spans="1:6" ht="12.75">
      <c r="A70" s="244" t="s">
        <v>429</v>
      </c>
      <c r="B70" s="103">
        <v>0.0001904</v>
      </c>
      <c r="C70" s="290">
        <v>1.86</v>
      </c>
      <c r="D70" s="131" t="s">
        <v>510</v>
      </c>
      <c r="E70" s="289"/>
      <c r="F70" s="168"/>
    </row>
    <row r="71" spans="1:5" ht="12.75">
      <c r="A71" s="69"/>
      <c r="B71" s="69"/>
      <c r="C71" s="69"/>
      <c r="D71" s="48"/>
      <c r="E71" s="48"/>
    </row>
    <row r="72" spans="1:5" ht="12.75">
      <c r="A72" s="237" t="s">
        <v>430</v>
      </c>
      <c r="B72" s="238"/>
      <c r="C72" s="69"/>
      <c r="D72" s="48"/>
      <c r="E72" s="48"/>
    </row>
    <row r="73" spans="1:5" ht="12.75">
      <c r="A73" s="245" t="s">
        <v>431</v>
      </c>
      <c r="B73" s="246">
        <f>SUM(D81:D85)</f>
        <v>101098630.28683701</v>
      </c>
      <c r="C73" s="288">
        <f>B73*0.09290304</f>
        <v>9392370.09348323</v>
      </c>
      <c r="D73" s="289" t="s">
        <v>511</v>
      </c>
      <c r="E73" s="48"/>
    </row>
    <row r="74" spans="1:5" ht="12.75">
      <c r="A74" s="245" t="s">
        <v>432</v>
      </c>
      <c r="B74" s="300">
        <v>30</v>
      </c>
      <c r="C74" s="289">
        <f>C73*B75</f>
        <v>46961.85046741615</v>
      </c>
      <c r="D74" s="289" t="s">
        <v>512</v>
      </c>
      <c r="E74" s="48"/>
    </row>
    <row r="75" spans="1:5" ht="12.75">
      <c r="A75" s="239" t="s">
        <v>433</v>
      </c>
      <c r="B75" s="247">
        <v>0.005</v>
      </c>
      <c r="C75" s="250"/>
      <c r="D75" s="48"/>
      <c r="E75" s="48"/>
    </row>
    <row r="76" spans="1:5" ht="12.75">
      <c r="A76" s="69"/>
      <c r="B76" s="69"/>
      <c r="C76" s="69"/>
      <c r="D76" s="48"/>
      <c r="E76" s="48"/>
    </row>
    <row r="77" spans="1:5" ht="12.75">
      <c r="A77" s="48"/>
      <c r="B77" s="48"/>
      <c r="C77" s="48"/>
      <c r="D77" s="48"/>
      <c r="E77" s="48"/>
    </row>
    <row r="78" spans="1:5" ht="12.75">
      <c r="A78" s="237" t="s">
        <v>434</v>
      </c>
      <c r="B78" s="251"/>
      <c r="C78" s="251"/>
      <c r="D78" s="251"/>
      <c r="E78" s="238"/>
    </row>
    <row r="79" spans="1:5" ht="12.75">
      <c r="A79" s="252" t="s">
        <v>401</v>
      </c>
      <c r="B79" s="253" t="s">
        <v>402</v>
      </c>
      <c r="C79" s="254" t="s">
        <v>37</v>
      </c>
      <c r="D79" s="255" t="s">
        <v>403</v>
      </c>
      <c r="E79" s="256" t="s">
        <v>435</v>
      </c>
    </row>
    <row r="80" spans="1:5" ht="12.75">
      <c r="A80" s="257" t="s">
        <v>64</v>
      </c>
      <c r="B80" s="258" t="s">
        <v>405</v>
      </c>
      <c r="C80" s="259">
        <v>79816</v>
      </c>
      <c r="D80" s="260">
        <v>116313726.202872</v>
      </c>
      <c r="E80" s="261">
        <f aca="true" t="shared" si="1" ref="E80:E85">D80/C80</f>
        <v>1457.273306140022</v>
      </c>
    </row>
    <row r="81" spans="1:5" ht="12.75">
      <c r="A81" s="257" t="s">
        <v>379</v>
      </c>
      <c r="B81" s="258" t="s">
        <v>406</v>
      </c>
      <c r="C81" s="259">
        <v>3991</v>
      </c>
      <c r="D81" s="260">
        <v>29570021.73978</v>
      </c>
      <c r="E81" s="261">
        <f t="shared" si="1"/>
        <v>7409.176081127537</v>
      </c>
    </row>
    <row r="82" spans="1:5" ht="12.75">
      <c r="A82" s="257" t="s">
        <v>407</v>
      </c>
      <c r="B82" s="258" t="s">
        <v>408</v>
      </c>
      <c r="C82" s="259">
        <v>2761</v>
      </c>
      <c r="D82" s="260">
        <v>6650190.045319</v>
      </c>
      <c r="E82" s="261">
        <f t="shared" si="1"/>
        <v>2408.616459731619</v>
      </c>
    </row>
    <row r="83" spans="1:5" ht="12.75">
      <c r="A83" s="257" t="s">
        <v>409</v>
      </c>
      <c r="B83" s="258" t="s">
        <v>410</v>
      </c>
      <c r="C83" s="259">
        <v>3199</v>
      </c>
      <c r="D83" s="260">
        <v>36507697.233027</v>
      </c>
      <c r="E83" s="261">
        <f t="shared" si="1"/>
        <v>11412.221704603628</v>
      </c>
    </row>
    <row r="84" spans="1:5" ht="12.75">
      <c r="A84" s="257" t="s">
        <v>411</v>
      </c>
      <c r="B84" s="258" t="s">
        <v>412</v>
      </c>
      <c r="C84" s="259">
        <v>1794</v>
      </c>
      <c r="D84" s="260">
        <v>23856288.836797</v>
      </c>
      <c r="E84" s="261">
        <f t="shared" si="1"/>
        <v>13297.81986443534</v>
      </c>
    </row>
    <row r="85" spans="1:5" ht="12.75">
      <c r="A85" s="262" t="s">
        <v>413</v>
      </c>
      <c r="B85" s="263" t="s">
        <v>414</v>
      </c>
      <c r="C85" s="264">
        <v>1395</v>
      </c>
      <c r="D85" s="265">
        <v>4514432.431914</v>
      </c>
      <c r="E85" s="266">
        <f t="shared" si="1"/>
        <v>3236.1522809419353</v>
      </c>
    </row>
    <row r="88" ht="12.75">
      <c r="A88" s="4" t="s">
        <v>324</v>
      </c>
    </row>
    <row r="89" ht="12.75">
      <c r="A89" t="s">
        <v>517</v>
      </c>
    </row>
  </sheetData>
  <sheetProtection/>
  <printOptions/>
  <pageMargins left="0.75" right="0.75" top="1" bottom="1" header="0.5" footer="0.5"/>
  <pageSetup horizontalDpi="600" verticalDpi="600" orientation="portrait" r:id="rId3"/>
  <legacyDrawing r:id="rId2"/>
</worksheet>
</file>

<file path=xl/worksheets/sheet18.xml><?xml version="1.0" encoding="utf-8"?>
<worksheet xmlns="http://schemas.openxmlformats.org/spreadsheetml/2006/main" xmlns:r="http://schemas.openxmlformats.org/officeDocument/2006/relationships">
  <dimension ref="A1:G43"/>
  <sheetViews>
    <sheetView zoomScalePageLayoutView="0" workbookViewId="0" topLeftCell="A1">
      <selection activeCell="D10" sqref="D10:E10"/>
    </sheetView>
  </sheetViews>
  <sheetFormatPr defaultColWidth="9.140625" defaultRowHeight="12.75"/>
  <cols>
    <col min="1" max="1" width="41.7109375" style="0" customWidth="1"/>
    <col min="2" max="2" width="20.28125" style="0" bestFit="1" customWidth="1"/>
    <col min="4" max="4" width="16.421875" style="0" customWidth="1"/>
    <col min="5" max="5" width="29.140625" style="0" customWidth="1"/>
  </cols>
  <sheetData>
    <row r="1" spans="1:5" ht="15">
      <c r="A1" s="306" t="s">
        <v>436</v>
      </c>
      <c r="B1" s="30"/>
      <c r="C1" s="30"/>
      <c r="D1" s="30"/>
      <c r="E1" s="30"/>
    </row>
    <row r="2" spans="1:5" ht="15">
      <c r="A2" s="221" t="s">
        <v>506</v>
      </c>
      <c r="B2" s="222"/>
      <c r="C2" s="222"/>
      <c r="D2" s="222"/>
      <c r="E2" s="222"/>
    </row>
    <row r="3" spans="1:5" ht="13.5" thickBot="1">
      <c r="A3" s="223"/>
      <c r="B3" s="224"/>
      <c r="C3" s="224"/>
      <c r="D3" s="224"/>
      <c r="E3" s="224"/>
    </row>
    <row r="4" spans="1:5" ht="12.75">
      <c r="A4" s="225" t="s">
        <v>437</v>
      </c>
      <c r="B4" s="226" t="s">
        <v>438</v>
      </c>
      <c r="C4" s="224"/>
      <c r="D4" s="224"/>
      <c r="E4" s="224"/>
    </row>
    <row r="5" spans="1:5" ht="12.75">
      <c r="A5" s="227" t="s">
        <v>439</v>
      </c>
      <c r="B5" s="228">
        <f>B10*B27</f>
        <v>647.0822373640403</v>
      </c>
      <c r="C5" s="230"/>
      <c r="D5" s="230"/>
      <c r="E5" s="224"/>
    </row>
    <row r="6" spans="1:5" ht="12.75">
      <c r="A6" s="227" t="s">
        <v>440</v>
      </c>
      <c r="B6" s="228">
        <f>B11*B27</f>
        <v>97.06233560460603</v>
      </c>
      <c r="C6" s="230"/>
      <c r="D6" s="230"/>
      <c r="E6" s="230"/>
    </row>
    <row r="7" spans="1:5" ht="13.5" thickBot="1">
      <c r="A7" s="229" t="s">
        <v>40</v>
      </c>
      <c r="B7" s="231">
        <f>SUM(B5:B6)</f>
        <v>744.1445729686463</v>
      </c>
      <c r="C7" s="224"/>
      <c r="D7" s="224">
        <f>B7/10</f>
        <v>74.41445729686464</v>
      </c>
      <c r="E7" s="224" t="s">
        <v>518</v>
      </c>
    </row>
    <row r="8" spans="1:5" ht="13.5" thickBot="1">
      <c r="A8" s="232"/>
      <c r="B8" s="232"/>
      <c r="C8" s="233"/>
      <c r="D8" s="233">
        <v>8500000</v>
      </c>
      <c r="E8" s="233" t="s">
        <v>519</v>
      </c>
    </row>
    <row r="9" spans="1:7" ht="12.75">
      <c r="A9" s="225" t="s">
        <v>441</v>
      </c>
      <c r="B9" s="226" t="s">
        <v>442</v>
      </c>
      <c r="C9" s="224"/>
      <c r="D9" s="318">
        <f>D7/D8</f>
        <v>8.754642034925251E-06</v>
      </c>
      <c r="E9" s="30" t="s">
        <v>541</v>
      </c>
      <c r="F9" s="319"/>
      <c r="G9" s="103"/>
    </row>
    <row r="10" spans="1:5" ht="12.75">
      <c r="A10" s="227" t="s">
        <v>443</v>
      </c>
      <c r="B10" s="234">
        <f>B31*(1/B32)*B23</f>
        <v>33699543.428945675</v>
      </c>
      <c r="C10" s="230"/>
      <c r="D10" s="320">
        <f>D9*10</f>
        <v>8.754642034925251E-05</v>
      </c>
      <c r="E10" s="316" t="s">
        <v>537</v>
      </c>
    </row>
    <row r="11" spans="1:5" ht="12.75">
      <c r="A11" s="227" t="s">
        <v>444</v>
      </c>
      <c r="B11" s="234">
        <f>B31*B33*B23</f>
        <v>5054931.514341851</v>
      </c>
      <c r="C11" s="230"/>
      <c r="D11" s="230"/>
      <c r="E11" s="230"/>
    </row>
    <row r="12" spans="1:5" ht="13.5" thickBot="1">
      <c r="A12" s="229" t="s">
        <v>40</v>
      </c>
      <c r="B12" s="248">
        <f>SUM(B10:B11)</f>
        <v>38754474.94328753</v>
      </c>
      <c r="C12" s="224"/>
      <c r="D12" s="224"/>
      <c r="E12" s="224"/>
    </row>
    <row r="13" spans="1:5" ht="12.75">
      <c r="A13" s="233"/>
      <c r="B13" s="233"/>
      <c r="C13" s="235"/>
      <c r="D13" s="224"/>
      <c r="E13" s="224"/>
    </row>
    <row r="14" spans="1:6" ht="12.75">
      <c r="A14" s="307" t="s">
        <v>131</v>
      </c>
      <c r="B14" s="307"/>
      <c r="C14" s="307"/>
      <c r="D14" s="307"/>
      <c r="E14" s="307"/>
      <c r="F14" s="103"/>
    </row>
    <row r="15" spans="1:5" ht="12.75">
      <c r="A15" s="223"/>
      <c r="B15" s="224"/>
      <c r="C15" s="224"/>
      <c r="D15" s="224"/>
      <c r="E15" s="224"/>
    </row>
    <row r="16" spans="1:5" ht="12.75">
      <c r="A16" s="224" t="s">
        <v>20</v>
      </c>
      <c r="B16" s="224"/>
      <c r="C16" s="224"/>
      <c r="D16" s="236"/>
      <c r="E16" s="236"/>
    </row>
    <row r="17" spans="1:5" ht="12.75">
      <c r="A17" s="224" t="s">
        <v>21</v>
      </c>
      <c r="B17" s="224"/>
      <c r="C17" s="224"/>
      <c r="D17" s="236"/>
      <c r="E17" s="236"/>
    </row>
    <row r="18" spans="1:5" ht="12.75">
      <c r="A18" s="224" t="s">
        <v>22</v>
      </c>
      <c r="B18" s="224"/>
      <c r="C18" s="224"/>
      <c r="D18" s="236"/>
      <c r="E18" s="236"/>
    </row>
    <row r="19" spans="1:5" ht="12.75">
      <c r="A19" s="230" t="s">
        <v>23</v>
      </c>
      <c r="B19" s="230"/>
      <c r="C19" s="230"/>
      <c r="D19" s="236"/>
      <c r="E19" s="236"/>
    </row>
    <row r="20" spans="1:5" ht="12.75">
      <c r="A20" s="224"/>
      <c r="B20" s="224"/>
      <c r="C20" s="224"/>
      <c r="D20" s="236"/>
      <c r="E20" s="236"/>
    </row>
    <row r="21" spans="1:5" ht="12.75">
      <c r="A21" s="224"/>
      <c r="B21" s="224"/>
      <c r="C21" s="224"/>
      <c r="D21" s="236"/>
      <c r="E21" s="236"/>
    </row>
    <row r="22" spans="1:6" ht="12.75">
      <c r="A22" s="237" t="s">
        <v>24</v>
      </c>
      <c r="B22" s="238"/>
      <c r="C22" s="224"/>
      <c r="D22" s="224"/>
      <c r="E22" s="224"/>
      <c r="F22" s="103"/>
    </row>
    <row r="23" spans="1:6" ht="12.75">
      <c r="A23" s="239" t="s">
        <v>25</v>
      </c>
      <c r="B23" s="299">
        <v>10</v>
      </c>
      <c r="C23" s="48"/>
      <c r="D23" s="48"/>
      <c r="E23" s="48"/>
      <c r="F23" s="103"/>
    </row>
    <row r="24" spans="1:5" ht="12.75">
      <c r="A24" s="69"/>
      <c r="B24" s="242"/>
      <c r="C24" s="48"/>
      <c r="D24" s="48"/>
      <c r="E24" s="48"/>
    </row>
    <row r="25" spans="1:5" ht="12.75">
      <c r="A25" s="237" t="s">
        <v>26</v>
      </c>
      <c r="B25" s="238"/>
      <c r="C25" s="243"/>
      <c r="D25" s="48"/>
      <c r="E25" s="48"/>
    </row>
    <row r="26" spans="1:5" ht="12.75">
      <c r="A26" s="267" t="s">
        <v>27</v>
      </c>
      <c r="B26" s="268">
        <v>3.840302695663464E-05</v>
      </c>
      <c r="C26" s="249"/>
      <c r="D26" s="48"/>
      <c r="E26" s="48"/>
    </row>
    <row r="27" spans="1:5" ht="12.75">
      <c r="A27" s="245" t="s">
        <v>28</v>
      </c>
      <c r="B27" s="301">
        <f>B26/2</f>
        <v>1.920151347831732E-05</v>
      </c>
      <c r="C27" s="249"/>
      <c r="D27" s="48"/>
      <c r="E27" s="48"/>
    </row>
    <row r="28" spans="1:5" ht="12.75">
      <c r="A28" s="239" t="s">
        <v>29</v>
      </c>
      <c r="B28" s="269">
        <v>0.00194</v>
      </c>
      <c r="C28" s="249"/>
      <c r="D28" s="48"/>
      <c r="E28" s="48"/>
    </row>
    <row r="29" spans="1:5" ht="12.75">
      <c r="A29" s="69"/>
      <c r="B29" s="69"/>
      <c r="C29" s="270"/>
      <c r="D29" s="48"/>
      <c r="E29" s="48"/>
    </row>
    <row r="30" spans="1:5" ht="12.75">
      <c r="A30" s="237" t="s">
        <v>30</v>
      </c>
      <c r="B30" s="238"/>
      <c r="C30" s="69"/>
      <c r="D30" s="48"/>
      <c r="E30" s="48"/>
    </row>
    <row r="31" spans="1:5" ht="12.75">
      <c r="A31" s="245" t="s">
        <v>31</v>
      </c>
      <c r="B31" s="246">
        <f>SUM(D39:D43)</f>
        <v>101098630.28683701</v>
      </c>
      <c r="C31" s="224"/>
      <c r="D31" s="48"/>
      <c r="E31" s="48"/>
    </row>
    <row r="32" spans="1:5" ht="12.75">
      <c r="A32" s="245" t="s">
        <v>32</v>
      </c>
      <c r="B32" s="300">
        <v>30</v>
      </c>
      <c r="C32" s="48"/>
      <c r="D32" s="48"/>
      <c r="E32" s="48"/>
    </row>
    <row r="33" spans="1:5" ht="12.75">
      <c r="A33" s="239" t="s">
        <v>33</v>
      </c>
      <c r="B33" s="247">
        <v>0.005</v>
      </c>
      <c r="C33" s="69"/>
      <c r="D33" s="48"/>
      <c r="E33" s="48"/>
    </row>
    <row r="34" spans="1:5" ht="12.75">
      <c r="A34" s="69"/>
      <c r="B34" s="69"/>
      <c r="C34" s="69"/>
      <c r="D34" s="48"/>
      <c r="E34" s="48"/>
    </row>
    <row r="35" spans="1:5" ht="12.75">
      <c r="A35" s="48"/>
      <c r="B35" s="48"/>
      <c r="C35" s="48"/>
      <c r="D35" s="48"/>
      <c r="E35" s="48"/>
    </row>
    <row r="36" spans="1:5" ht="12.75">
      <c r="A36" s="237" t="s">
        <v>34</v>
      </c>
      <c r="B36" s="251"/>
      <c r="C36" s="251"/>
      <c r="D36" s="251"/>
      <c r="E36" s="238"/>
    </row>
    <row r="37" spans="1:5" ht="12.75">
      <c r="A37" s="252" t="s">
        <v>401</v>
      </c>
      <c r="B37" s="253" t="s">
        <v>402</v>
      </c>
      <c r="C37" s="254" t="s">
        <v>37</v>
      </c>
      <c r="D37" s="255" t="s">
        <v>403</v>
      </c>
      <c r="E37" s="256" t="s">
        <v>35</v>
      </c>
    </row>
    <row r="38" spans="1:5" ht="12.75">
      <c r="A38" s="257" t="s">
        <v>64</v>
      </c>
      <c r="B38" s="258" t="s">
        <v>405</v>
      </c>
      <c r="C38" s="259">
        <v>79816</v>
      </c>
      <c r="D38" s="260">
        <v>116313726.202872</v>
      </c>
      <c r="E38" s="261">
        <f aca="true" t="shared" si="0" ref="E38:E43">D38/C38</f>
        <v>1457.273306140022</v>
      </c>
    </row>
    <row r="39" spans="1:5" ht="12.75">
      <c r="A39" s="257" t="s">
        <v>379</v>
      </c>
      <c r="B39" s="258" t="s">
        <v>406</v>
      </c>
      <c r="C39" s="259">
        <v>3991</v>
      </c>
      <c r="D39" s="260">
        <v>29570021.73978</v>
      </c>
      <c r="E39" s="261">
        <f t="shared" si="0"/>
        <v>7409.176081127537</v>
      </c>
    </row>
    <row r="40" spans="1:5" ht="12.75">
      <c r="A40" s="257" t="s">
        <v>407</v>
      </c>
      <c r="B40" s="258" t="s">
        <v>408</v>
      </c>
      <c r="C40" s="259">
        <v>2761</v>
      </c>
      <c r="D40" s="260">
        <v>6650190.045319</v>
      </c>
      <c r="E40" s="261">
        <f t="shared" si="0"/>
        <v>2408.616459731619</v>
      </c>
    </row>
    <row r="41" spans="1:5" ht="12.75">
      <c r="A41" s="257" t="s">
        <v>409</v>
      </c>
      <c r="B41" s="258" t="s">
        <v>410</v>
      </c>
      <c r="C41" s="259">
        <v>3199</v>
      </c>
      <c r="D41" s="260">
        <v>36507697.233027</v>
      </c>
      <c r="E41" s="261">
        <f t="shared" si="0"/>
        <v>11412.221704603628</v>
      </c>
    </row>
    <row r="42" spans="1:5" ht="12.75">
      <c r="A42" s="257" t="s">
        <v>411</v>
      </c>
      <c r="B42" s="258" t="s">
        <v>412</v>
      </c>
      <c r="C42" s="259">
        <v>1794</v>
      </c>
      <c r="D42" s="260">
        <v>23856288.836797</v>
      </c>
      <c r="E42" s="261">
        <f t="shared" si="0"/>
        <v>13297.81986443534</v>
      </c>
    </row>
    <row r="43" spans="1:5" ht="12.75">
      <c r="A43" s="262" t="s">
        <v>413</v>
      </c>
      <c r="B43" s="263" t="s">
        <v>414</v>
      </c>
      <c r="C43" s="264">
        <v>1395</v>
      </c>
      <c r="D43" s="265">
        <v>4514432.431914</v>
      </c>
      <c r="E43" s="266">
        <f t="shared" si="0"/>
        <v>3236.1522809419353</v>
      </c>
    </row>
  </sheetData>
  <sheetProtection/>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selection activeCell="E44" sqref="E44"/>
    </sheetView>
  </sheetViews>
  <sheetFormatPr defaultColWidth="9.140625" defaultRowHeight="12.75"/>
  <sheetData>
    <row r="1" ht="15.75">
      <c r="A1" s="98" t="s">
        <v>297</v>
      </c>
    </row>
    <row r="3" ht="12.75">
      <c r="A3" t="s">
        <v>119</v>
      </c>
    </row>
    <row r="4" spans="1:9" ht="12.75">
      <c r="A4" s="95"/>
      <c r="D4" t="s">
        <v>125</v>
      </c>
      <c r="I4" s="4" t="s">
        <v>262</v>
      </c>
    </row>
    <row r="5" ht="12.75">
      <c r="I5" t="s">
        <v>298</v>
      </c>
    </row>
    <row r="6" spans="1:4" ht="12.75">
      <c r="A6" t="s">
        <v>120</v>
      </c>
      <c r="D6" s="1">
        <v>0.2</v>
      </c>
    </row>
    <row r="7" spans="1:4" ht="12.75">
      <c r="A7" t="s">
        <v>121</v>
      </c>
      <c r="D7" s="1">
        <v>0.1</v>
      </c>
    </row>
    <row r="8" spans="1:4" ht="12.75">
      <c r="A8" t="s">
        <v>122</v>
      </c>
      <c r="D8" s="1">
        <f>+D6-D7</f>
        <v>0.1</v>
      </c>
    </row>
    <row r="9" spans="1:4" ht="12.75">
      <c r="A9" t="s">
        <v>123</v>
      </c>
      <c r="D9" s="1">
        <v>0.025</v>
      </c>
    </row>
    <row r="10" spans="1:4" ht="12.75">
      <c r="A10" s="147" t="s">
        <v>124</v>
      </c>
      <c r="B10" s="147"/>
      <c r="C10" s="147"/>
      <c r="D10" s="159">
        <f>+D8-D9</f>
        <v>0.07500000000000001</v>
      </c>
    </row>
    <row r="13" ht="12.75">
      <c r="A13" s="4" t="s">
        <v>299</v>
      </c>
    </row>
    <row r="14" ht="12.75">
      <c r="A14" t="s">
        <v>300</v>
      </c>
    </row>
    <row r="15" ht="12.75">
      <c r="A15" t="s">
        <v>301</v>
      </c>
    </row>
    <row r="18" spans="1:2" ht="12.75">
      <c r="A18" s="168"/>
      <c r="B18" s="103"/>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30" ht="12.75">
      <c r="A30" s="103"/>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69"/>
  <sheetViews>
    <sheetView zoomScalePageLayoutView="0" workbookViewId="0" topLeftCell="A154">
      <selection activeCell="E166" sqref="E166"/>
    </sheetView>
  </sheetViews>
  <sheetFormatPr defaultColWidth="9.140625" defaultRowHeight="12.75"/>
  <cols>
    <col min="1" max="1" width="44.00390625" style="0" customWidth="1"/>
    <col min="2" max="2" width="13.421875" style="0" customWidth="1"/>
    <col min="4" max="4" width="10.421875" style="0" customWidth="1"/>
    <col min="5" max="5" width="8.57421875" style="0" customWidth="1"/>
    <col min="6" max="6" width="17.00390625" style="0" customWidth="1"/>
    <col min="13" max="13" width="14.140625" style="0" customWidth="1"/>
    <col min="14" max="14" width="6.00390625" style="0" customWidth="1"/>
    <col min="15" max="15" width="45.00390625" style="0" customWidth="1"/>
    <col min="16" max="16" width="10.28125" style="0" customWidth="1"/>
  </cols>
  <sheetData>
    <row r="1" ht="15.75">
      <c r="A1" s="98" t="s">
        <v>367</v>
      </c>
    </row>
    <row r="4" ht="12.75">
      <c r="A4" s="218" t="s">
        <v>368</v>
      </c>
    </row>
    <row r="5" spans="1:2" ht="12.75">
      <c r="A5" t="s">
        <v>37</v>
      </c>
      <c r="B5" s="146">
        <f>'Master Mitigation'!E5</f>
        <v>0.16110868580195198</v>
      </c>
    </row>
    <row r="6" spans="1:2" ht="12.75">
      <c r="A6" t="s">
        <v>369</v>
      </c>
      <c r="B6" s="146">
        <f>'Master Mitigation'!E20</f>
        <v>0.06539382057001258</v>
      </c>
    </row>
    <row r="7" spans="1:2" ht="12.75">
      <c r="A7" t="s">
        <v>39</v>
      </c>
      <c r="B7" s="146">
        <f>'Master Mitigation'!E32</f>
        <v>0.0067843960427576965</v>
      </c>
    </row>
    <row r="8" spans="1:2" ht="12.75">
      <c r="A8" t="s">
        <v>373</v>
      </c>
      <c r="B8" s="2">
        <f>1-SUM(B5:B7)</f>
        <v>0.7667130975852777</v>
      </c>
    </row>
    <row r="10" ht="12.75">
      <c r="A10" s="2">
        <f>SUM(B5:B7)</f>
        <v>0.23328690241472225</v>
      </c>
    </row>
    <row r="12" spans="1:2" ht="12.75">
      <c r="A12" t="s">
        <v>37</v>
      </c>
      <c r="B12" s="2">
        <f>B5/A10</f>
        <v>0.690603219187777</v>
      </c>
    </row>
    <row r="13" spans="1:2" ht="12.75">
      <c r="A13" t="s">
        <v>369</v>
      </c>
      <c r="B13" s="2">
        <f>B6/A10</f>
        <v>0.28031501080056226</v>
      </c>
    </row>
    <row r="14" spans="1:2" ht="12.75">
      <c r="A14" t="s">
        <v>39</v>
      </c>
      <c r="B14" s="2">
        <f>B7/A10</f>
        <v>0.02908177001166075</v>
      </c>
    </row>
    <row r="32" ht="12.75">
      <c r="A32" s="218" t="s">
        <v>370</v>
      </c>
    </row>
    <row r="33" spans="1:2" ht="12.75">
      <c r="A33" t="s">
        <v>50</v>
      </c>
      <c r="B33" s="146">
        <f>'Master Mitigation'!E6</f>
        <v>0.028820846663608495</v>
      </c>
    </row>
    <row r="34" spans="1:2" ht="12.75">
      <c r="A34" t="s">
        <v>136</v>
      </c>
      <c r="B34" s="146">
        <f>'Master Mitigation'!E7</f>
        <v>0.06110019492685</v>
      </c>
    </row>
    <row r="35" spans="1:2" ht="12.75">
      <c r="A35" t="s">
        <v>137</v>
      </c>
      <c r="B35" s="146">
        <f>'Master Mitigation'!E8</f>
        <v>0.01773160972407243</v>
      </c>
    </row>
    <row r="36" spans="1:2" ht="12.75">
      <c r="A36" t="s">
        <v>51</v>
      </c>
      <c r="B36" s="164">
        <f>'Master Mitigation'!E9</f>
        <v>0.002947546786512522</v>
      </c>
    </row>
    <row r="37" spans="1:2" ht="12.75">
      <c r="A37" t="s">
        <v>53</v>
      </c>
      <c r="B37" s="219">
        <f>'Master Mitigation'!E10</f>
        <v>0.0128</v>
      </c>
    </row>
    <row r="38" spans="1:2" ht="12.75">
      <c r="A38" t="s">
        <v>52</v>
      </c>
      <c r="B38" s="164">
        <f>'Master Mitigation'!E13</f>
        <v>0.001473773393256261</v>
      </c>
    </row>
    <row r="39" spans="1:2" ht="12.75">
      <c r="A39" t="s">
        <v>54</v>
      </c>
      <c r="B39" s="219">
        <f>'Master Mitigation'!E14</f>
        <v>0.0054558</v>
      </c>
    </row>
    <row r="40" spans="1:2" ht="12.75">
      <c r="A40" t="s">
        <v>55</v>
      </c>
      <c r="B40" s="219">
        <f>'Master Mitigation'!E15</f>
        <v>0.016405499999999996</v>
      </c>
    </row>
    <row r="41" spans="1:2" ht="12.75">
      <c r="A41" t="s">
        <v>56</v>
      </c>
      <c r="B41" s="219">
        <f>'Master Mitigation'!E16</f>
        <v>0.007605559354779728</v>
      </c>
    </row>
    <row r="42" spans="1:2" ht="12.75">
      <c r="A42" t="s">
        <v>58</v>
      </c>
      <c r="B42" s="219">
        <f>'Master Mitigation'!E17</f>
        <v>0.0019389283784092494</v>
      </c>
    </row>
    <row r="43" spans="1:2" ht="12.75">
      <c r="A43" t="s">
        <v>60</v>
      </c>
      <c r="B43" s="219">
        <f>'Master Mitigation'!E18</f>
        <v>0.0048289265744633205</v>
      </c>
    </row>
    <row r="44" spans="1:2" ht="12.75">
      <c r="A44" t="s">
        <v>44</v>
      </c>
      <c r="B44" s="146">
        <f>'Master Mitigation'!E21</f>
        <v>0.034420531476057295</v>
      </c>
    </row>
    <row r="45" spans="1:2" ht="12.75">
      <c r="A45" t="s">
        <v>45</v>
      </c>
      <c r="B45" s="219">
        <f>'Master Mitigation'!E23</f>
        <v>0.00952897756852305</v>
      </c>
    </row>
    <row r="46" spans="1:2" ht="12.75">
      <c r="A46" t="s">
        <v>447</v>
      </c>
      <c r="B46" s="219">
        <f>'Master Mitigation'!E24</f>
        <v>0.002031778997469068</v>
      </c>
    </row>
    <row r="47" spans="1:2" ht="12.75">
      <c r="A47" t="s">
        <v>190</v>
      </c>
      <c r="B47" s="219">
        <f>'Master Mitigation'!E27</f>
        <v>0.00195425048669695</v>
      </c>
    </row>
    <row r="48" spans="1:2" ht="12.75">
      <c r="A48" t="s">
        <v>371</v>
      </c>
      <c r="B48" s="219">
        <f>'Master Mitigation'!E28</f>
        <v>0.004993510707332901</v>
      </c>
    </row>
    <row r="49" spans="1:2" ht="12.75">
      <c r="A49" t="s">
        <v>372</v>
      </c>
      <c r="B49" s="146">
        <f>'Master Mitigation'!E29</f>
        <v>0.012052238805970153</v>
      </c>
    </row>
    <row r="50" spans="1:2" ht="12.75">
      <c r="A50" t="s">
        <v>365</v>
      </c>
      <c r="B50" s="219">
        <f>'Master Mitigation'!E30</f>
        <v>0.0004125325279631622</v>
      </c>
    </row>
    <row r="51" spans="1:2" ht="12.75">
      <c r="A51" t="s">
        <v>57</v>
      </c>
      <c r="B51" s="219">
        <f>'Master Mitigation'!E33</f>
        <v>0.0018141649470703443</v>
      </c>
    </row>
    <row r="52" spans="1:2" ht="12.75">
      <c r="A52" t="s">
        <v>270</v>
      </c>
      <c r="B52" s="219">
        <f>'Master Mitigation'!E34</f>
        <v>0.0049702310956873524</v>
      </c>
    </row>
    <row r="53" spans="1:16" ht="12.75">
      <c r="A53" t="s">
        <v>373</v>
      </c>
      <c r="B53" s="2">
        <f>1-SUM(B33:B52)</f>
        <v>0.7667130975852778</v>
      </c>
      <c r="P53" s="281"/>
    </row>
    <row r="56" ht="12.75">
      <c r="A56" s="2">
        <f>SUM(B33:B52)</f>
        <v>0.23328690241472222</v>
      </c>
    </row>
    <row r="57" spans="1:2" ht="12.75">
      <c r="A57" t="s">
        <v>50</v>
      </c>
      <c r="B57" s="164">
        <f>$B33/A56</f>
        <v>0.12354249795118234</v>
      </c>
    </row>
    <row r="58" spans="1:2" ht="12.75">
      <c r="A58" t="s">
        <v>136</v>
      </c>
      <c r="B58" s="164">
        <f>$B34/A56</f>
        <v>0.2619100956565065</v>
      </c>
    </row>
    <row r="59" spans="1:2" ht="12.75">
      <c r="A59" t="s">
        <v>137</v>
      </c>
      <c r="B59" s="164">
        <f>$B35/A56</f>
        <v>0.07600773785641138</v>
      </c>
    </row>
    <row r="60" spans="1:2" ht="12.75">
      <c r="A60" t="s">
        <v>51</v>
      </c>
      <c r="B60" s="164">
        <f>$B36/A56</f>
        <v>0.012634857576669973</v>
      </c>
    </row>
    <row r="61" spans="1:2" ht="12.75">
      <c r="A61" t="s">
        <v>53</v>
      </c>
      <c r="B61" s="164">
        <f>$B37/A56</f>
        <v>0.05486806103346941</v>
      </c>
    </row>
    <row r="62" spans="1:2" ht="12.75">
      <c r="A62" t="s">
        <v>52</v>
      </c>
      <c r="B62" s="164">
        <f>$B38/A56</f>
        <v>0.006317428788334987</v>
      </c>
    </row>
    <row r="63" spans="1:2" ht="12.75">
      <c r="A63" t="s">
        <v>54</v>
      </c>
      <c r="B63" s="164">
        <f>$B39/A56</f>
        <v>0.023386653702062686</v>
      </c>
    </row>
    <row r="64" spans="1:2" ht="12.75">
      <c r="A64" t="s">
        <v>55</v>
      </c>
      <c r="B64" s="164">
        <f>$B40/A56</f>
        <v>0.07032327931910798</v>
      </c>
    </row>
    <row r="65" spans="1:2" ht="12.75">
      <c r="A65" t="s">
        <v>56</v>
      </c>
      <c r="B65" s="164">
        <f>$B41/A56</f>
        <v>0.03260174178685377</v>
      </c>
    </row>
    <row r="66" spans="1:2" ht="12.75">
      <c r="A66" t="s">
        <v>58</v>
      </c>
      <c r="B66" s="164">
        <f>$B42/A56</f>
        <v>0.008311346922350357</v>
      </c>
    </row>
    <row r="67" spans="1:2" ht="12.75">
      <c r="A67" t="s">
        <v>60</v>
      </c>
      <c r="B67" s="164">
        <f>$B43/A56</f>
        <v>0.020699518594827798</v>
      </c>
    </row>
    <row r="68" spans="1:2" ht="12.75">
      <c r="A68" t="s">
        <v>44</v>
      </c>
      <c r="B68" s="164">
        <f>$B44/A56</f>
        <v>0.14754592358068488</v>
      </c>
    </row>
    <row r="69" spans="1:2" ht="12.75">
      <c r="A69" t="s">
        <v>45</v>
      </c>
      <c r="B69" s="164">
        <f>$B45/A56</f>
        <v>0.04084660334502216</v>
      </c>
    </row>
    <row r="70" spans="1:2" ht="12.75">
      <c r="A70" t="s">
        <v>447</v>
      </c>
      <c r="B70" s="164">
        <f>$B46/A56</f>
        <v>0.008709357346847977</v>
      </c>
    </row>
    <row r="71" spans="1:2" ht="12.75">
      <c r="A71" t="s">
        <v>190</v>
      </c>
      <c r="B71" s="164">
        <f>$B47/A56</f>
        <v>0.00837702617021684</v>
      </c>
    </row>
    <row r="72" spans="1:2" ht="12.75">
      <c r="A72" t="s">
        <v>371</v>
      </c>
      <c r="B72" s="164">
        <f>$B48/A56</f>
        <v>0.02140501955165817</v>
      </c>
    </row>
    <row r="73" spans="1:2" ht="12.75">
      <c r="A73" t="s">
        <v>372</v>
      </c>
      <c r="B73" s="164">
        <f>$B49/A56</f>
        <v>0.05166273237468116</v>
      </c>
    </row>
    <row r="74" spans="1:2" ht="12.75">
      <c r="A74" t="s">
        <v>365</v>
      </c>
      <c r="B74" s="164">
        <f>$B50/A56</f>
        <v>0.00176834843145111</v>
      </c>
    </row>
    <row r="75" spans="1:2" ht="12.75">
      <c r="A75" t="s">
        <v>57</v>
      </c>
      <c r="B75" s="164">
        <f>$B51/A56</f>
        <v>0.007776540081299722</v>
      </c>
    </row>
    <row r="76" spans="1:2" ht="12.75">
      <c r="A76" t="s">
        <v>270</v>
      </c>
      <c r="B76" s="164">
        <f>$B52/A56</f>
        <v>0.02130522993036103</v>
      </c>
    </row>
    <row r="84" ht="12.75">
      <c r="A84" s="218" t="s">
        <v>374</v>
      </c>
    </row>
    <row r="85" spans="1:2" ht="12.75">
      <c r="A85" t="s">
        <v>113</v>
      </c>
      <c r="B85" s="146">
        <f>SUM('Master Mitigation'!E6:E10,'Master Mitigation'!E21)</f>
        <v>0.15782072957710075</v>
      </c>
    </row>
    <row r="86" spans="1:2" ht="12.75">
      <c r="A86" t="s">
        <v>112</v>
      </c>
      <c r="B86" s="164">
        <f>SUM('Master Mitigation'!E13:E18,'Master Mitigation'!E23,'Master Mitigation'!E27,'Master Mitigation'!E28,'Master Mitigation'!E29,'Master Mitigation'!E33,'Master Mitigation'!E34,'Master Mitigation'!E30,+'Master Mitigation'!E24)</f>
        <v>0.07546617283762154</v>
      </c>
    </row>
    <row r="87" spans="1:2" ht="12.75">
      <c r="A87" t="s">
        <v>373</v>
      </c>
      <c r="B87" s="2">
        <f>1-SUM(B85:B86)</f>
        <v>0.7667130975852777</v>
      </c>
    </row>
    <row r="90" ht="12.75">
      <c r="A90" s="2">
        <f>SUM(B85:B86)</f>
        <v>0.23328690241472227</v>
      </c>
    </row>
    <row r="91" spans="1:2" ht="12.75">
      <c r="A91" t="s">
        <v>113</v>
      </c>
      <c r="B91" s="164">
        <f>B85/A90</f>
        <v>0.6765091736549244</v>
      </c>
    </row>
    <row r="92" spans="1:2" ht="12.75">
      <c r="A92" t="s">
        <v>112</v>
      </c>
      <c r="B92" s="164">
        <f>B86/A90</f>
        <v>0.3234908263450757</v>
      </c>
    </row>
    <row r="100" ht="12.75">
      <c r="A100" s="275"/>
    </row>
    <row r="101" ht="12.75">
      <c r="A101" s="274"/>
    </row>
    <row r="102" ht="12.75">
      <c r="A102" s="276"/>
    </row>
    <row r="111" ht="12.75">
      <c r="A111" s="218" t="s">
        <v>375</v>
      </c>
    </row>
    <row r="112" spans="1:2" ht="12.75">
      <c r="A112" t="s">
        <v>118</v>
      </c>
      <c r="B112" s="219">
        <f>'Master Mitigation'!E10+('Master Mitigation'!E21*0.75)+(('Master Mitigation'!E23+'Master Mitigation'!E24)*0.6)</f>
        <v>0.045551852546638245</v>
      </c>
    </row>
    <row r="113" spans="1:2" ht="12.75">
      <c r="A113" t="s">
        <v>376</v>
      </c>
      <c r="B113" s="1">
        <f>SUM('Master Mitigation'!E6:E9,'Master Mitigation'!E18)+('Master Mitigation'!E21*0.25)+(('Master Mitigation'!E23+'Master Mitigation'!E24)*0.4)</f>
        <v>0.12865856017091792</v>
      </c>
    </row>
    <row r="114" spans="1:2" ht="12.75">
      <c r="A114" t="s">
        <v>116</v>
      </c>
      <c r="B114" s="1">
        <f>SUM('Master Mitigation'!E13,'Master Mitigation'!E14,'Master Mitigation'!E15,'Master Mitigation'!E16,'Master Mitigation'!E17,'Master Mitigation'!E27,'Master Mitigation'!E28,'Master Mitigation'!E29,'Master Mitigation'!E30,'Master Mitigation'!E33,'Master Mitigation'!E34)</f>
        <v>0.0590764896971661</v>
      </c>
    </row>
    <row r="115" spans="1:2" ht="12.75">
      <c r="A115" t="s">
        <v>373</v>
      </c>
      <c r="B115" s="2">
        <f>1-SUM(B112:B114)</f>
        <v>0.7667130975852777</v>
      </c>
    </row>
    <row r="117" ht="12.75">
      <c r="A117" s="2">
        <f>SUM(B112:B114)</f>
        <v>0.23328690241472227</v>
      </c>
    </row>
    <row r="118" spans="1:2" ht="12.75">
      <c r="A118" t="s">
        <v>118</v>
      </c>
      <c r="B118" s="164">
        <f>B112/A117</f>
        <v>0.19526108013410512</v>
      </c>
    </row>
    <row r="119" spans="1:2" ht="12.75">
      <c r="A119" t="s">
        <v>376</v>
      </c>
      <c r="B119" s="164">
        <f>B113/A117</f>
        <v>0.551503572807517</v>
      </c>
    </row>
    <row r="120" spans="1:2" ht="12.75">
      <c r="A120" t="s">
        <v>116</v>
      </c>
      <c r="B120" s="164">
        <f>B114/A117</f>
        <v>0.25323534705837775</v>
      </c>
    </row>
    <row r="137" ht="12.75">
      <c r="A137" s="218" t="s">
        <v>473</v>
      </c>
    </row>
    <row r="138" spans="1:2" ht="12.75">
      <c r="A138" t="s">
        <v>92</v>
      </c>
      <c r="B138" s="282">
        <f>'Master Mitigation'!E6+'Master Mitigation'!E7+(SUM('Master Mitigation'!E9:E17)*0.6)+'Master Mitigation'!E33+'Master Mitigation'!E34</f>
        <v>0.12588170238099083</v>
      </c>
    </row>
    <row r="139" spans="1:2" ht="12.75">
      <c r="A139" t="s">
        <v>474</v>
      </c>
      <c r="B139" s="282">
        <f>'Master Mitigation'!E8+(SUM('Master Mitigation'!E9,'Master Mitigation'!E10,'Master Mitigation'!E13,'Master Mitigation'!E14,'Master Mitigation'!E15,'Master Mitigation'!E17)*0.4)</f>
        <v>0.034140229147343645</v>
      </c>
    </row>
    <row r="140" spans="1:2" ht="12.75">
      <c r="A140" t="s">
        <v>94</v>
      </c>
      <c r="B140" s="282">
        <f>'Master Mitigation'!E16+'Master Mitigation'!E18</f>
        <v>0.01243448592924305</v>
      </c>
    </row>
    <row r="141" spans="1:2" ht="12.75">
      <c r="A141" t="s">
        <v>90</v>
      </c>
      <c r="B141" s="282">
        <f>'Master Mitigation'!E21+'Master Mitigation'!E23+'Master Mitigation'!E27+'Master Mitigation'!E28+'Master Mitigation'!E29+('Master Mitigation'!E30*0.5)</f>
        <v>0.06315577530856194</v>
      </c>
    </row>
    <row r="142" spans="1:2" ht="12.75">
      <c r="A142" t="s">
        <v>475</v>
      </c>
      <c r="B142" s="282">
        <f>'Master Mitigation'!E24+('Master Mitigation'!E30*0.5)</f>
        <v>0.002238045261450649</v>
      </c>
    </row>
    <row r="143" spans="1:2" ht="12.75">
      <c r="A143" t="s">
        <v>373</v>
      </c>
      <c r="B143" s="146">
        <f>1-SUM(B138:B142)</f>
        <v>0.7621497619724098</v>
      </c>
    </row>
    <row r="146" ht="12.75">
      <c r="A146" s="2">
        <f>SUM(B138:B142)</f>
        <v>0.23785023802759014</v>
      </c>
    </row>
    <row r="147" spans="1:2" ht="12.75">
      <c r="A147" t="s">
        <v>92</v>
      </c>
      <c r="B147" s="164">
        <f>B138/A146</f>
        <v>0.5292477460812497</v>
      </c>
    </row>
    <row r="148" spans="1:2" ht="12.75">
      <c r="A148" t="s">
        <v>474</v>
      </c>
      <c r="B148" s="164">
        <f>B139/A146</f>
        <v>0.1435366616844985</v>
      </c>
    </row>
    <row r="149" spans="1:2" ht="12.75">
      <c r="A149" t="s">
        <v>94</v>
      </c>
      <c r="B149" s="164">
        <f>B140/A146</f>
        <v>0.052278635633741403</v>
      </c>
    </row>
    <row r="150" spans="1:2" ht="12.75">
      <c r="A150" t="s">
        <v>90</v>
      </c>
      <c r="B150" s="164">
        <f>B141/A146</f>
        <v>0.2655274841525952</v>
      </c>
    </row>
    <row r="151" spans="1:2" ht="12.75">
      <c r="A151" t="s">
        <v>475</v>
      </c>
      <c r="B151" s="164">
        <f>B142/A146</f>
        <v>0.009409472447915063</v>
      </c>
    </row>
    <row r="163" ht="12.75">
      <c r="A163" s="218" t="s">
        <v>545</v>
      </c>
    </row>
    <row r="164" spans="1:6" ht="15.75">
      <c r="A164" s="40"/>
      <c r="B164" s="334" t="s">
        <v>41</v>
      </c>
      <c r="C164" s="334"/>
      <c r="D164" s="334" t="s">
        <v>42</v>
      </c>
      <c r="E164" s="334"/>
      <c r="F164" s="334"/>
    </row>
    <row r="165" spans="1:6" ht="12.75">
      <c r="A165" s="40"/>
      <c r="B165" s="327" t="s">
        <v>59</v>
      </c>
      <c r="C165" s="327" t="s">
        <v>43</v>
      </c>
      <c r="D165" s="327" t="s">
        <v>59</v>
      </c>
      <c r="E165" s="327" t="s">
        <v>43</v>
      </c>
      <c r="F165" s="327" t="s">
        <v>546</v>
      </c>
    </row>
    <row r="166" spans="1:6" ht="15.75">
      <c r="A166" s="326" t="s">
        <v>37</v>
      </c>
      <c r="B166" s="332">
        <f>1480+4720-182</f>
        <v>6018</v>
      </c>
      <c r="C166" s="333">
        <f>0.173+0.553-0.021</f>
        <v>0.705</v>
      </c>
      <c r="D166" s="328">
        <f>'Master Mitigation'!D5</f>
        <v>1376.5126114918778</v>
      </c>
      <c r="E166" s="329">
        <f>'Master Mitigation'!E5</f>
        <v>0.16110868580195198</v>
      </c>
      <c r="F166" s="329">
        <f>+D166/B166</f>
        <v>0.22873257086937152</v>
      </c>
    </row>
    <row r="167" spans="1:6" ht="15.75">
      <c r="A167" s="326" t="s">
        <v>38</v>
      </c>
      <c r="B167" s="332">
        <v>2310</v>
      </c>
      <c r="C167" s="333">
        <v>0.271</v>
      </c>
      <c r="D167" s="328">
        <f>'Master Mitigation'!D20</f>
        <v>558.7248029501875</v>
      </c>
      <c r="E167" s="329">
        <f>'Master Mitigation'!E20</f>
        <v>0.06539382057001258</v>
      </c>
      <c r="F167" s="329">
        <f>+D167/B167</f>
        <v>0.24187220906934523</v>
      </c>
    </row>
    <row r="168" spans="1:6" ht="15.75">
      <c r="A168" s="326" t="s">
        <v>39</v>
      </c>
      <c r="B168" s="332">
        <f>34+182</f>
        <v>216</v>
      </c>
      <c r="C168" s="333">
        <v>0.025</v>
      </c>
      <c r="D168" s="330">
        <f>'Master Mitigation'!D32</f>
        <v>57.96587978932176</v>
      </c>
      <c r="E168" s="329">
        <f>'Master Mitigation'!E32</f>
        <v>0.0067843960427576965</v>
      </c>
      <c r="F168" s="329">
        <f>+D168/B168</f>
        <v>0.2683605545801933</v>
      </c>
    </row>
    <row r="169" spans="1:6" ht="15.75">
      <c r="A169" s="326" t="s">
        <v>40</v>
      </c>
      <c r="B169" s="332">
        <f>'Master Mitigation'!B36</f>
        <v>8544</v>
      </c>
      <c r="C169" s="333">
        <f>'Master Mitigation'!C36</f>
        <v>1.001</v>
      </c>
      <c r="D169" s="328">
        <f>'Master Mitigation'!D36</f>
        <v>1993.2032942313872</v>
      </c>
      <c r="E169" s="331">
        <f>'Master Mitigation'!E36</f>
        <v>0.23328690241472227</v>
      </c>
      <c r="F169" s="325"/>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R47"/>
  <sheetViews>
    <sheetView zoomScalePageLayoutView="0" workbookViewId="0" topLeftCell="C1">
      <selection activeCell="O5" sqref="O5"/>
    </sheetView>
  </sheetViews>
  <sheetFormatPr defaultColWidth="9.140625" defaultRowHeight="12.75"/>
  <cols>
    <col min="1" max="1" width="15.57421875" style="0" customWidth="1"/>
    <col min="2" max="2" width="16.00390625" style="0" customWidth="1"/>
    <col min="3" max="3" width="14.421875" style="0" customWidth="1"/>
    <col min="4" max="4" width="7.57421875" style="0" hidden="1" customWidth="1"/>
    <col min="5" max="5" width="14.140625" style="0" customWidth="1"/>
    <col min="6" max="6" width="8.00390625" style="0" hidden="1" customWidth="1"/>
    <col min="7" max="7" width="14.57421875" style="0" customWidth="1"/>
    <col min="8" max="8" width="8.421875" style="0" hidden="1" customWidth="1"/>
    <col min="9" max="9" width="14.00390625" style="0" customWidth="1"/>
    <col min="10" max="10" width="8.28125" style="0" hidden="1" customWidth="1"/>
    <col min="11" max="11" width="14.140625" style="0" customWidth="1"/>
    <col min="12" max="12" width="10.28125" style="0" hidden="1" customWidth="1"/>
    <col min="14" max="14" width="14.7109375" style="0" customWidth="1"/>
    <col min="15" max="15" width="11.00390625" style="0" customWidth="1"/>
    <col min="17" max="17" width="12.8515625" style="0" customWidth="1"/>
    <col min="18" max="18" width="12.28125" style="0" customWidth="1"/>
    <col min="20" max="20" width="15.7109375" style="0" customWidth="1"/>
  </cols>
  <sheetData>
    <row r="1" spans="1:9" ht="12.75">
      <c r="A1" s="9" t="s">
        <v>61</v>
      </c>
      <c r="B1" s="9"/>
      <c r="D1" s="9"/>
      <c r="I1" t="s">
        <v>110</v>
      </c>
    </row>
    <row r="2" spans="1:13" ht="12.75">
      <c r="A2" s="9" t="s">
        <v>106</v>
      </c>
      <c r="B2" s="9"/>
      <c r="D2" s="9"/>
      <c r="I2" s="39" t="s">
        <v>62</v>
      </c>
      <c r="K2" s="40"/>
      <c r="L2" s="41"/>
      <c r="M2" s="42"/>
    </row>
    <row r="3" spans="2:14" s="43" customFormat="1" ht="25.5">
      <c r="B3" s="44">
        <v>1990</v>
      </c>
      <c r="C3" s="44">
        <v>2004</v>
      </c>
      <c r="D3" s="44" t="s">
        <v>100</v>
      </c>
      <c r="E3" s="44">
        <v>2005</v>
      </c>
      <c r="F3" s="44" t="s">
        <v>100</v>
      </c>
      <c r="G3" s="44">
        <v>2006</v>
      </c>
      <c r="H3" s="44" t="s">
        <v>100</v>
      </c>
      <c r="I3" s="44">
        <v>2007</v>
      </c>
      <c r="J3" s="44" t="s">
        <v>100</v>
      </c>
      <c r="K3" s="44">
        <v>2008</v>
      </c>
      <c r="L3" s="44" t="s">
        <v>100</v>
      </c>
      <c r="N3" s="45" t="s">
        <v>104</v>
      </c>
    </row>
    <row r="4" spans="1:18" ht="12.75">
      <c r="A4" s="14" t="s">
        <v>64</v>
      </c>
      <c r="B4" s="14"/>
      <c r="C4" s="21"/>
      <c r="D4" s="21"/>
      <c r="Q4" s="85">
        <v>2008</v>
      </c>
      <c r="R4" s="85"/>
    </row>
    <row r="5" spans="1:18" ht="12.75">
      <c r="A5" s="9" t="s">
        <v>92</v>
      </c>
      <c r="B5" s="46">
        <f>'[1]Summary-Fuel'!B5*1.144/2000</f>
        <v>591856.51954</v>
      </c>
      <c r="C5" s="16">
        <v>554364</v>
      </c>
      <c r="D5" s="47">
        <f aca="true" t="shared" si="0" ref="D5:D11">C5/$C$41</f>
        <v>0.06830104531780344</v>
      </c>
      <c r="E5" s="48">
        <v>601774</v>
      </c>
      <c r="F5" s="47">
        <f aca="true" t="shared" si="1" ref="F5:F10">E5/$E$41</f>
        <v>0.07140206951549265</v>
      </c>
      <c r="G5" s="48">
        <v>507886</v>
      </c>
      <c r="H5" s="47">
        <f aca="true" t="shared" si="2" ref="H5:H10">G5/$G$41</f>
        <v>0.06308677347286423</v>
      </c>
      <c r="I5" s="48">
        <v>571095</v>
      </c>
      <c r="J5" s="47">
        <f aca="true" t="shared" si="3" ref="J5:J10">I5/$I$41</f>
        <v>0.06685014818715818</v>
      </c>
      <c r="K5" s="48">
        <v>569011</v>
      </c>
      <c r="L5" s="47">
        <f>K5/$K$41</f>
        <v>0.0659308814394484</v>
      </c>
      <c r="N5" s="50" t="s">
        <v>102</v>
      </c>
      <c r="O5" s="49">
        <f>I5+I13+I25+I33</f>
        <v>3320928</v>
      </c>
      <c r="P5" s="51"/>
      <c r="Q5" s="86">
        <f>K5+K13+K25+K33</f>
        <v>3316479</v>
      </c>
      <c r="R5" s="87">
        <f aca="true" t="shared" si="4" ref="R5:R12">+Q5/Q$12</f>
        <v>0.3842779555147799</v>
      </c>
    </row>
    <row r="6" spans="1:18" ht="12.75">
      <c r="A6" s="9" t="s">
        <v>93</v>
      </c>
      <c r="B6" s="8"/>
      <c r="C6" s="16">
        <v>318432</v>
      </c>
      <c r="D6" s="47">
        <f t="shared" si="0"/>
        <v>0.039232775690049834</v>
      </c>
      <c r="E6" s="48">
        <v>342629</v>
      </c>
      <c r="F6" s="47">
        <f t="shared" si="1"/>
        <v>0.040653832960586084</v>
      </c>
      <c r="G6" s="48">
        <v>348365</v>
      </c>
      <c r="H6" s="47">
        <f t="shared" si="2"/>
        <v>0.043271962292471836</v>
      </c>
      <c r="I6" s="48">
        <v>436522</v>
      </c>
      <c r="J6" s="47">
        <f t="shared" si="3"/>
        <v>0.0510975588771652</v>
      </c>
      <c r="K6" s="48">
        <v>472748</v>
      </c>
      <c r="L6" s="47">
        <f aca="true" t="shared" si="5" ref="L6:L39">K6/$K$41</f>
        <v>0.05477695921297893</v>
      </c>
      <c r="M6" s="84">
        <f>(+K6+K7)/K41</f>
        <v>0.10082374930434995</v>
      </c>
      <c r="N6" s="53" t="s">
        <v>93</v>
      </c>
      <c r="O6" s="52">
        <f>I6+I14+I27+I34+I38</f>
        <v>1890600</v>
      </c>
      <c r="P6" s="52"/>
      <c r="Q6" s="88">
        <f>K6+K14+K27+K34+K38</f>
        <v>1987418</v>
      </c>
      <c r="R6" s="87">
        <f t="shared" si="4"/>
        <v>0.2302806457671744</v>
      </c>
    </row>
    <row r="7" spans="1:18" ht="12.75">
      <c r="A7" t="s">
        <v>94</v>
      </c>
      <c r="C7" s="48">
        <v>580355</v>
      </c>
      <c r="D7" s="47">
        <f t="shared" si="0"/>
        <v>0.07150329594889607</v>
      </c>
      <c r="E7" s="48">
        <v>420378</v>
      </c>
      <c r="F7" s="47">
        <f t="shared" si="1"/>
        <v>0.04987895651653905</v>
      </c>
      <c r="G7" s="48">
        <v>425994</v>
      </c>
      <c r="H7" s="47">
        <f t="shared" si="2"/>
        <v>0.052914604810527024</v>
      </c>
      <c r="I7" s="48">
        <v>397403</v>
      </c>
      <c r="J7" s="47">
        <f t="shared" si="3"/>
        <v>0.04651844166035637</v>
      </c>
      <c r="K7" s="54">
        <v>397403</v>
      </c>
      <c r="L7" s="47">
        <f t="shared" si="5"/>
        <v>0.04604679009137102</v>
      </c>
      <c r="N7" s="53" t="s">
        <v>94</v>
      </c>
      <c r="O7" s="52">
        <f>I7+I15+I35</f>
        <v>829613</v>
      </c>
      <c r="P7" s="52"/>
      <c r="Q7" s="88">
        <f>K7+K15+K35</f>
        <v>833513</v>
      </c>
      <c r="R7" s="87">
        <f t="shared" si="4"/>
        <v>0.0965785314892664</v>
      </c>
    </row>
    <row r="8" spans="1:18" ht="12.75">
      <c r="A8" s="9" t="s">
        <v>95</v>
      </c>
      <c r="B8" s="9"/>
      <c r="C8" s="16">
        <v>42792</v>
      </c>
      <c r="D8" s="47">
        <f t="shared" si="0"/>
        <v>0.005272236889912485</v>
      </c>
      <c r="E8" s="48">
        <v>43529</v>
      </c>
      <c r="F8" s="47">
        <f t="shared" si="1"/>
        <v>0.005164830457846101</v>
      </c>
      <c r="G8" s="48">
        <v>31432</v>
      </c>
      <c r="H8" s="47">
        <f t="shared" si="2"/>
        <v>0.003904308178998966</v>
      </c>
      <c r="I8" s="48">
        <v>28306</v>
      </c>
      <c r="J8" s="47">
        <f t="shared" si="3"/>
        <v>0.0033133897067662986</v>
      </c>
      <c r="K8" s="54">
        <v>28306</v>
      </c>
      <c r="L8" s="47">
        <f t="shared" si="5"/>
        <v>0.0032797951709633497</v>
      </c>
      <c r="N8" s="53" t="s">
        <v>96</v>
      </c>
      <c r="O8" s="52">
        <f>I9+I17</f>
        <v>181707</v>
      </c>
      <c r="P8" s="52"/>
      <c r="Q8" s="88">
        <f>K9+K17</f>
        <v>178456</v>
      </c>
      <c r="R8" s="87">
        <f t="shared" si="4"/>
        <v>0.020677564015736435</v>
      </c>
    </row>
    <row r="9" spans="1:18" ht="12.75">
      <c r="A9" s="55" t="s">
        <v>96</v>
      </c>
      <c r="B9" s="55"/>
      <c r="C9" s="56">
        <v>53402</v>
      </c>
      <c r="D9" s="57">
        <f t="shared" si="0"/>
        <v>0.006579453972590825</v>
      </c>
      <c r="E9" s="58">
        <v>51777</v>
      </c>
      <c r="F9" s="57">
        <f t="shared" si="1"/>
        <v>0.006143477374070104</v>
      </c>
      <c r="G9" s="58">
        <v>51116</v>
      </c>
      <c r="H9" s="57">
        <f t="shared" si="2"/>
        <v>0.006349345153910382</v>
      </c>
      <c r="I9" s="58">
        <v>49301</v>
      </c>
      <c r="J9" s="57">
        <f t="shared" si="3"/>
        <v>0.005770982333543605</v>
      </c>
      <c r="K9" s="58">
        <v>46050</v>
      </c>
      <c r="L9" s="57">
        <f t="shared" si="5"/>
        <v>0.0053357792560892485</v>
      </c>
      <c r="N9" s="53" t="s">
        <v>90</v>
      </c>
      <c r="O9" s="52">
        <f>I22+I36+I28</f>
        <v>1656718</v>
      </c>
      <c r="P9" s="52"/>
      <c r="Q9" s="88">
        <f>K22+K36+K28</f>
        <v>1650353</v>
      </c>
      <c r="R9" s="87">
        <f t="shared" si="4"/>
        <v>0.19122517486698498</v>
      </c>
    </row>
    <row r="10" spans="1:18" ht="12.75">
      <c r="A10" t="s">
        <v>40</v>
      </c>
      <c r="B10" s="48">
        <f>SUM(B5:B9)</f>
        <v>591856.51954</v>
      </c>
      <c r="C10" s="48">
        <f>SUM(C5:C9)</f>
        <v>1549345</v>
      </c>
      <c r="D10" s="47">
        <f t="shared" si="0"/>
        <v>0.19088880781925266</v>
      </c>
      <c r="E10" s="48">
        <f>SUM(E5:E9)</f>
        <v>1460087</v>
      </c>
      <c r="F10" s="47">
        <f t="shared" si="1"/>
        <v>0.173243166824534</v>
      </c>
      <c r="G10" s="48">
        <f>SUM(G5:G9)</f>
        <v>1364793</v>
      </c>
      <c r="H10" s="47">
        <f t="shared" si="2"/>
        <v>0.16952699390877243</v>
      </c>
      <c r="I10" s="48">
        <f>SUM(I5:I9)</f>
        <v>1482627</v>
      </c>
      <c r="J10" s="47">
        <f t="shared" si="3"/>
        <v>0.17355052076498964</v>
      </c>
      <c r="K10" s="48">
        <f>SUM(K5:K9)</f>
        <v>1513518</v>
      </c>
      <c r="L10" s="47">
        <f t="shared" si="5"/>
        <v>0.17537020517085095</v>
      </c>
      <c r="N10" s="53" t="s">
        <v>91</v>
      </c>
      <c r="O10" s="52">
        <f>I23+I26+I37</f>
        <v>406017</v>
      </c>
      <c r="P10" s="52"/>
      <c r="Q10" s="88">
        <f>K23+K26+K37</f>
        <v>406868</v>
      </c>
      <c r="R10" s="87">
        <f t="shared" si="4"/>
        <v>0.04714349260296461</v>
      </c>
    </row>
    <row r="11" spans="3:18" ht="12.75">
      <c r="C11" s="59"/>
      <c r="D11" s="48">
        <f t="shared" si="0"/>
        <v>0</v>
      </c>
      <c r="E11" s="48"/>
      <c r="F11" s="48"/>
      <c r="G11" s="48"/>
      <c r="H11" s="48"/>
      <c r="I11" s="48"/>
      <c r="J11" s="48"/>
      <c r="K11" s="48"/>
      <c r="L11" s="47"/>
      <c r="N11" s="61" t="s">
        <v>103</v>
      </c>
      <c r="O11" s="60">
        <f>I8+I16</f>
        <v>257330</v>
      </c>
      <c r="P11" s="60"/>
      <c r="Q11" s="89">
        <f>K8+K16</f>
        <v>257330</v>
      </c>
      <c r="R11" s="87">
        <f t="shared" si="4"/>
        <v>0.029816635743093293</v>
      </c>
    </row>
    <row r="12" spans="1:18" ht="12.75">
      <c r="A12" s="14" t="s">
        <v>70</v>
      </c>
      <c r="B12" s="14"/>
      <c r="C12" s="21"/>
      <c r="D12" s="21"/>
      <c r="E12" s="48"/>
      <c r="F12" s="48"/>
      <c r="G12" s="48"/>
      <c r="H12" s="48"/>
      <c r="I12" s="48"/>
      <c r="J12" s="48"/>
      <c r="K12" s="48"/>
      <c r="L12" s="47"/>
      <c r="O12" s="62">
        <f>SUM(O5:O11)</f>
        <v>8542913</v>
      </c>
      <c r="P12" s="62"/>
      <c r="Q12" s="90">
        <f>SUM(Q5:Q11)</f>
        <v>8630417</v>
      </c>
      <c r="R12" s="87">
        <f t="shared" si="4"/>
        <v>1</v>
      </c>
    </row>
    <row r="13" spans="1:18" ht="12.75">
      <c r="A13" s="9" t="s">
        <v>92</v>
      </c>
      <c r="B13" s="16">
        <f>'[1]Summary-Fuel'!B12*1.144/2000</f>
        <v>2462135.0244919998</v>
      </c>
      <c r="C13" s="16">
        <v>2349047</v>
      </c>
      <c r="D13" s="47">
        <f aca="true" t="shared" si="6" ref="D13:D18">C13/$C$41</f>
        <v>0.2894169996620456</v>
      </c>
      <c r="E13" s="48">
        <v>2494376</v>
      </c>
      <c r="F13" s="47">
        <f aca="true" t="shared" si="7" ref="F13:F18">E13/$E$41</f>
        <v>0.29596427986216833</v>
      </c>
      <c r="G13" s="48">
        <v>2210410</v>
      </c>
      <c r="H13" s="47">
        <f aca="true" t="shared" si="8" ref="H13:H39">G13/$G$41</f>
        <v>0.2745648333526694</v>
      </c>
      <c r="I13" s="48">
        <v>2527531</v>
      </c>
      <c r="J13" s="47">
        <f aca="true" t="shared" si="9" ref="J13:J18">I13/$I$41</f>
        <v>0.2958628982877386</v>
      </c>
      <c r="K13" s="48">
        <v>2525166</v>
      </c>
      <c r="L13" s="47">
        <f t="shared" si="5"/>
        <v>0.2925891066445573</v>
      </c>
      <c r="Q13" s="85"/>
      <c r="R13" s="87"/>
    </row>
    <row r="14" spans="1:18" ht="12.75">
      <c r="A14" s="9" t="s">
        <v>93</v>
      </c>
      <c r="B14" s="9"/>
      <c r="C14" s="16">
        <v>1082643</v>
      </c>
      <c r="D14" s="47">
        <f t="shared" si="6"/>
        <v>0.13338825862790996</v>
      </c>
      <c r="E14" s="48">
        <v>1207655</v>
      </c>
      <c r="F14" s="47">
        <f t="shared" si="7"/>
        <v>0.14329144539433789</v>
      </c>
      <c r="G14" s="48">
        <v>1332152</v>
      </c>
      <c r="H14" s="47">
        <f t="shared" si="8"/>
        <v>0.16547251047562453</v>
      </c>
      <c r="I14" s="48">
        <v>1401415</v>
      </c>
      <c r="J14" s="47">
        <f t="shared" si="9"/>
        <v>0.1640441615172717</v>
      </c>
      <c r="K14" s="54">
        <v>1462007</v>
      </c>
      <c r="L14" s="47">
        <f t="shared" si="5"/>
        <v>0.16940166390569542</v>
      </c>
      <c r="N14" s="50" t="s">
        <v>64</v>
      </c>
      <c r="O14" s="63">
        <f>I10</f>
        <v>1482627</v>
      </c>
      <c r="P14" s="63"/>
      <c r="Q14" s="91">
        <f>K10</f>
        <v>1513518</v>
      </c>
      <c r="R14" s="92">
        <f>+Q14/Q$18</f>
        <v>0.17537020517085095</v>
      </c>
    </row>
    <row r="15" spans="1:18" ht="12.75">
      <c r="A15" t="s">
        <v>94</v>
      </c>
      <c r="C15" s="16">
        <v>414633</v>
      </c>
      <c r="D15" s="47">
        <f t="shared" si="6"/>
        <v>0.051085328995491765</v>
      </c>
      <c r="E15" s="48">
        <v>418532</v>
      </c>
      <c r="F15" s="47">
        <f t="shared" si="7"/>
        <v>0.049659923756191146</v>
      </c>
      <c r="G15" s="48">
        <v>422431</v>
      </c>
      <c r="H15" s="47">
        <f t="shared" si="8"/>
        <v>0.05247202877203844</v>
      </c>
      <c r="I15" s="48">
        <v>426330</v>
      </c>
      <c r="J15" s="47">
        <f t="shared" si="9"/>
        <v>0.049904523199522224</v>
      </c>
      <c r="K15" s="48">
        <v>430230</v>
      </c>
      <c r="L15" s="47">
        <f t="shared" si="5"/>
        <v>0.04985043017040776</v>
      </c>
      <c r="N15" s="53" t="s">
        <v>105</v>
      </c>
      <c r="O15" s="64">
        <f>I18</f>
        <v>4716706</v>
      </c>
      <c r="P15" s="64"/>
      <c r="Q15" s="93">
        <f>K18</f>
        <v>4778833</v>
      </c>
      <c r="R15" s="92">
        <f>+Q15/Q$18</f>
        <v>0.5537198260524375</v>
      </c>
    </row>
    <row r="16" spans="1:18" ht="12.75">
      <c r="A16" s="9" t="s">
        <v>95</v>
      </c>
      <c r="B16" s="9"/>
      <c r="C16" s="16">
        <v>346223</v>
      </c>
      <c r="D16" s="47">
        <f t="shared" si="6"/>
        <v>0.04265679736250164</v>
      </c>
      <c r="E16" s="48">
        <v>352192</v>
      </c>
      <c r="F16" s="47">
        <f t="shared" si="7"/>
        <v>0.04178850808908392</v>
      </c>
      <c r="G16" s="48">
        <v>254317</v>
      </c>
      <c r="H16" s="47">
        <f t="shared" si="8"/>
        <v>0.031589842935813184</v>
      </c>
      <c r="I16" s="48">
        <v>229024</v>
      </c>
      <c r="J16" s="47">
        <f t="shared" si="9"/>
        <v>0.026808654144084107</v>
      </c>
      <c r="K16" s="54">
        <v>229024</v>
      </c>
      <c r="L16" s="47">
        <f t="shared" si="5"/>
        <v>0.026536840572129943</v>
      </c>
      <c r="N16" s="53" t="s">
        <v>38</v>
      </c>
      <c r="O16" s="64">
        <f>I29</f>
        <v>2309528</v>
      </c>
      <c r="P16" s="64"/>
      <c r="Q16" s="93">
        <f>K29</f>
        <v>2304014</v>
      </c>
      <c r="R16" s="92">
        <f>+Q16/Q$18</f>
        <v>0.26696438885861484</v>
      </c>
    </row>
    <row r="17" spans="1:18" ht="12.75">
      <c r="A17" s="65" t="s">
        <v>96</v>
      </c>
      <c r="B17" s="65"/>
      <c r="C17" s="58"/>
      <c r="D17" s="57">
        <f t="shared" si="6"/>
        <v>0</v>
      </c>
      <c r="E17" s="58">
        <v>130223</v>
      </c>
      <c r="F17" s="57">
        <f t="shared" si="7"/>
        <v>0.015451301815159843</v>
      </c>
      <c r="G17" s="58">
        <v>130915</v>
      </c>
      <c r="H17" s="57">
        <f t="shared" si="8"/>
        <v>0.016261532999925225</v>
      </c>
      <c r="I17" s="58">
        <v>132406</v>
      </c>
      <c r="J17" s="57">
        <f t="shared" si="9"/>
        <v>0.015498928761184855</v>
      </c>
      <c r="K17" s="54">
        <v>132406</v>
      </c>
      <c r="L17" s="57">
        <f t="shared" si="5"/>
        <v>0.015341784759647188</v>
      </c>
      <c r="N17" s="61" t="s">
        <v>39</v>
      </c>
      <c r="O17" s="66">
        <f>I39</f>
        <v>34052</v>
      </c>
      <c r="P17" s="66"/>
      <c r="Q17" s="94">
        <f>K39</f>
        <v>34052</v>
      </c>
      <c r="R17" s="92">
        <f>+Q17/Q$18</f>
        <v>0.003945579918096657</v>
      </c>
    </row>
    <row r="18" spans="1:18" ht="12.75">
      <c r="A18" t="s">
        <v>40</v>
      </c>
      <c r="B18" s="48">
        <f>SUM(B13:B17)</f>
        <v>2462135.0244919998</v>
      </c>
      <c r="C18" s="48">
        <f>SUM(C13:C17)</f>
        <v>4192546</v>
      </c>
      <c r="D18" s="47">
        <f t="shared" si="6"/>
        <v>0.5165473846479489</v>
      </c>
      <c r="E18" s="48">
        <f>SUM(E13:E17)</f>
        <v>4602978</v>
      </c>
      <c r="F18" s="47">
        <f t="shared" si="7"/>
        <v>0.5461554589169412</v>
      </c>
      <c r="G18" s="48">
        <f>SUM(G13:G17)</f>
        <v>4350225</v>
      </c>
      <c r="H18" s="47">
        <f t="shared" si="8"/>
        <v>0.5403607485360707</v>
      </c>
      <c r="I18" s="48">
        <f>SUM(I13:I17)</f>
        <v>4716706</v>
      </c>
      <c r="J18" s="47">
        <f t="shared" si="9"/>
        <v>0.5521191659098015</v>
      </c>
      <c r="K18" s="48">
        <f>SUM(K13:K17)</f>
        <v>4778833</v>
      </c>
      <c r="L18" s="47">
        <f t="shared" si="5"/>
        <v>0.5537198260524375</v>
      </c>
      <c r="O18" s="62">
        <f>SUM(O14:O17)</f>
        <v>8542913</v>
      </c>
      <c r="P18" s="62"/>
      <c r="Q18" s="90">
        <f>SUM(Q14:Q17)</f>
        <v>8630417</v>
      </c>
      <c r="R18" s="92">
        <f>+Q18/Q$18</f>
        <v>1</v>
      </c>
    </row>
    <row r="19" spans="3:18" ht="12.75">
      <c r="C19" s="48"/>
      <c r="D19" s="48"/>
      <c r="E19" s="48"/>
      <c r="F19" s="48"/>
      <c r="G19" s="48"/>
      <c r="H19" s="47"/>
      <c r="I19" s="48"/>
      <c r="J19" s="48"/>
      <c r="K19" s="48"/>
      <c r="L19" s="47"/>
      <c r="Q19" s="85"/>
      <c r="R19" s="85"/>
    </row>
    <row r="20" spans="1:12" ht="12.75">
      <c r="A20" s="14" t="s">
        <v>38</v>
      </c>
      <c r="B20" s="14"/>
      <c r="C20" s="21"/>
      <c r="D20" s="21"/>
      <c r="E20" s="48"/>
      <c r="F20" s="48"/>
      <c r="G20" s="48"/>
      <c r="H20" s="47"/>
      <c r="I20" s="48"/>
      <c r="J20" s="48"/>
      <c r="K20" s="48"/>
      <c r="L20" s="47"/>
    </row>
    <row r="21" spans="1:18" ht="12.75">
      <c r="A21" s="85" t="s">
        <v>97</v>
      </c>
      <c r="C21" s="48"/>
      <c r="D21" s="48"/>
      <c r="E21" s="48"/>
      <c r="F21" s="48"/>
      <c r="G21" s="48"/>
      <c r="H21" s="47"/>
      <c r="I21" s="48"/>
      <c r="J21" s="48"/>
      <c r="K21" s="48"/>
      <c r="L21" s="47"/>
      <c r="N21" s="85" t="s">
        <v>268</v>
      </c>
      <c r="O21" s="85"/>
      <c r="P21" s="85"/>
      <c r="Q21" s="90">
        <f>K9</f>
        <v>46050</v>
      </c>
      <c r="R21" s="152">
        <f>K9/K41</f>
        <v>0.0053357792560892485</v>
      </c>
    </row>
    <row r="22" spans="1:18" ht="12.75">
      <c r="A22" s="166" t="s">
        <v>90</v>
      </c>
      <c r="B22" s="68">
        <v>1805034</v>
      </c>
      <c r="C22" s="68">
        <v>1677917</v>
      </c>
      <c r="D22" s="47">
        <f>C22/$C$41</f>
        <v>0.20672966689127145</v>
      </c>
      <c r="E22" s="48">
        <v>1667519</v>
      </c>
      <c r="F22" s="47">
        <f>E22/$E$41</f>
        <v>0.19785551977387655</v>
      </c>
      <c r="G22" s="48">
        <v>1658688</v>
      </c>
      <c r="H22" s="47">
        <f t="shared" si="8"/>
        <v>0.20603299582614648</v>
      </c>
      <c r="I22" s="69">
        <v>1651146</v>
      </c>
      <c r="J22" s="70">
        <f>I22/$I$41</f>
        <v>0.19327669613397677</v>
      </c>
      <c r="K22" s="69">
        <v>1644781</v>
      </c>
      <c r="L22" s="47">
        <f t="shared" si="5"/>
        <v>0.190579551370461</v>
      </c>
      <c r="M22" s="87">
        <f>+K22/K41</f>
        <v>0.190579551370461</v>
      </c>
      <c r="N22" s="85" t="s">
        <v>269</v>
      </c>
      <c r="O22" s="85"/>
      <c r="P22" s="85"/>
      <c r="Q22" s="90">
        <f>K17</f>
        <v>132406</v>
      </c>
      <c r="R22" s="152">
        <f>K17/K41</f>
        <v>0.015341784759647188</v>
      </c>
    </row>
    <row r="23" spans="1:13" ht="12.75">
      <c r="A23" s="166" t="s">
        <v>91</v>
      </c>
      <c r="B23" s="68">
        <v>275969</v>
      </c>
      <c r="C23" s="68">
        <v>348094</v>
      </c>
      <c r="D23" s="47">
        <f>C23/$C$41</f>
        <v>0.04288731603938112</v>
      </c>
      <c r="E23" s="48">
        <v>348802</v>
      </c>
      <c r="F23" s="47">
        <f>E23/$E$41</f>
        <v>0.04138627566352629</v>
      </c>
      <c r="G23" s="48">
        <v>349531</v>
      </c>
      <c r="H23" s="47">
        <f t="shared" si="8"/>
        <v>0.04341679632583633</v>
      </c>
      <c r="I23" s="69">
        <v>349851</v>
      </c>
      <c r="J23" s="70">
        <f>I23/$I$41</f>
        <v>0.04095219042965789</v>
      </c>
      <c r="K23" s="69">
        <v>350702</v>
      </c>
      <c r="L23" s="47">
        <f t="shared" si="5"/>
        <v>0.040635579949381356</v>
      </c>
      <c r="M23" s="87">
        <f>+K23/K41</f>
        <v>0.040635579949381356</v>
      </c>
    </row>
    <row r="24" spans="1:13" ht="12.75">
      <c r="A24" s="9" t="s">
        <v>77</v>
      </c>
      <c r="B24" s="9"/>
      <c r="C24" s="71"/>
      <c r="D24" s="71"/>
      <c r="E24" s="48"/>
      <c r="F24" s="48"/>
      <c r="G24" s="48"/>
      <c r="H24" s="47"/>
      <c r="I24" s="48"/>
      <c r="J24" s="48"/>
      <c r="K24" s="48"/>
      <c r="L24" s="47"/>
      <c r="M24" s="87">
        <f>SUM(M22:M23)</f>
        <v>0.23121513131984237</v>
      </c>
    </row>
    <row r="25" spans="1:12" ht="12.75">
      <c r="A25" s="67" t="s">
        <v>92</v>
      </c>
      <c r="B25" s="67"/>
      <c r="C25" s="54">
        <v>204588</v>
      </c>
      <c r="D25" s="47">
        <f>C25/$C$41</f>
        <v>0.025206496560885576</v>
      </c>
      <c r="E25" s="48">
        <v>204588</v>
      </c>
      <c r="F25" s="47">
        <f>E25/$E$41</f>
        <v>0.024274904861352618</v>
      </c>
      <c r="G25" s="48">
        <v>185898</v>
      </c>
      <c r="H25" s="47">
        <f t="shared" si="8"/>
        <v>0.023091215381125914</v>
      </c>
      <c r="I25" s="48">
        <v>195871</v>
      </c>
      <c r="J25" s="47">
        <f>I25/$I$41</f>
        <v>0.022927893565110637</v>
      </c>
      <c r="K25" s="54">
        <v>195871</v>
      </c>
      <c r="L25" s="47">
        <f t="shared" si="5"/>
        <v>0.022695427115514814</v>
      </c>
    </row>
    <row r="26" spans="1:12" ht="12.75">
      <c r="A26" s="67" t="s">
        <v>91</v>
      </c>
      <c r="B26" s="67"/>
      <c r="C26" s="54">
        <v>53719</v>
      </c>
      <c r="D26" s="47">
        <f>C26/$C$41</f>
        <v>0.006618510317096859</v>
      </c>
      <c r="E26" s="48">
        <v>53719</v>
      </c>
      <c r="F26" s="47">
        <f>E26/$E$41</f>
        <v>0.006373900787177163</v>
      </c>
      <c r="G26" s="48">
        <v>51420</v>
      </c>
      <c r="H26" s="47">
        <f t="shared" si="8"/>
        <v>0.006387106342712103</v>
      </c>
      <c r="I26" s="48">
        <v>55819</v>
      </c>
      <c r="J26" s="47">
        <f>I26/$I$41</f>
        <v>0.006533953933511906</v>
      </c>
      <c r="K26" s="54">
        <v>55819</v>
      </c>
      <c r="L26" s="47">
        <f t="shared" si="5"/>
        <v>0.006467706021620972</v>
      </c>
    </row>
    <row r="27" spans="1:12" ht="12.75">
      <c r="A27" s="67" t="s">
        <v>98</v>
      </c>
      <c r="B27" s="67"/>
      <c r="C27" s="54">
        <v>49944</v>
      </c>
      <c r="D27" s="47">
        <f>C27/$C$41</f>
        <v>0.006153407160913002</v>
      </c>
      <c r="E27" s="48">
        <v>49944</v>
      </c>
      <c r="F27" s="47">
        <f>E27/$E$41</f>
        <v>0.005925987097950003</v>
      </c>
      <c r="G27" s="48">
        <v>48795</v>
      </c>
      <c r="H27" s="47">
        <f t="shared" si="8"/>
        <v>0.006061043445986718</v>
      </c>
      <c r="I27" s="48">
        <v>51611</v>
      </c>
      <c r="J27" s="47">
        <f>I27/$I$41</f>
        <v>0.00604138190333906</v>
      </c>
      <c r="K27" s="54">
        <v>51611</v>
      </c>
      <c r="L27" s="47">
        <f t="shared" si="5"/>
        <v>0.005980128190793099</v>
      </c>
    </row>
    <row r="28" spans="1:14" ht="12.75">
      <c r="A28" s="72" t="s">
        <v>90</v>
      </c>
      <c r="B28" s="72"/>
      <c r="C28" s="54">
        <v>4986</v>
      </c>
      <c r="D28" s="57">
        <f>C28/$C$41</f>
        <v>0.0006143057845649573</v>
      </c>
      <c r="E28" s="58">
        <v>4986</v>
      </c>
      <c r="F28" s="57">
        <f>E28/$E$41</f>
        <v>0.0005916020276785743</v>
      </c>
      <c r="G28" s="58">
        <v>5001</v>
      </c>
      <c r="H28" s="57">
        <f t="shared" si="8"/>
        <v>0.0006211963986756753</v>
      </c>
      <c r="I28" s="58">
        <v>5230</v>
      </c>
      <c r="J28" s="57">
        <f>I28/$I$41</f>
        <v>0.0006122033549914415</v>
      </c>
      <c r="K28" s="54">
        <v>5230</v>
      </c>
      <c r="L28" s="57">
        <f t="shared" si="5"/>
        <v>0.000605996210843578</v>
      </c>
      <c r="N28" s="146">
        <f>K5/O12</f>
        <v>0.06660620329388817</v>
      </c>
    </row>
    <row r="29" spans="1:12" ht="12.75">
      <c r="A29" t="s">
        <v>40</v>
      </c>
      <c r="B29" s="62">
        <f>SUM(B22:B28)</f>
        <v>2081003</v>
      </c>
      <c r="C29" s="62">
        <f>SUM(C22:C28)</f>
        <v>2339248</v>
      </c>
      <c r="D29" s="47">
        <f>C29/$C$41</f>
        <v>0.28820970275411295</v>
      </c>
      <c r="E29" s="62">
        <f>SUM(E22:E28)</f>
        <v>2329558</v>
      </c>
      <c r="F29" s="47">
        <f>E29/$E$41</f>
        <v>0.2764081902115612</v>
      </c>
      <c r="G29" s="62">
        <f>SUM(G22:G28)</f>
        <v>2299333</v>
      </c>
      <c r="H29" s="47">
        <f t="shared" si="8"/>
        <v>0.2856103537204832</v>
      </c>
      <c r="I29" s="62">
        <f>SUM(I22:I28)</f>
        <v>2309528</v>
      </c>
      <c r="J29" s="47">
        <f>I29/$I$41</f>
        <v>0.2703443193205877</v>
      </c>
      <c r="K29" s="62">
        <f>SUM(K22:K28)</f>
        <v>2304014</v>
      </c>
      <c r="L29" s="47">
        <f t="shared" si="5"/>
        <v>0.26696438885861484</v>
      </c>
    </row>
    <row r="30" spans="3:12" ht="12.75">
      <c r="C30" s="48"/>
      <c r="D30" s="48"/>
      <c r="E30" s="62"/>
      <c r="F30" s="47"/>
      <c r="G30" s="62"/>
      <c r="H30" s="47"/>
      <c r="I30" s="62"/>
      <c r="J30" s="47"/>
      <c r="K30" s="48"/>
      <c r="L30" s="47"/>
    </row>
    <row r="31" spans="1:12" ht="12.75">
      <c r="A31" s="33" t="s">
        <v>82</v>
      </c>
      <c r="B31" s="33"/>
      <c r="C31" s="34"/>
      <c r="D31" s="34"/>
      <c r="E31" s="62"/>
      <c r="F31" s="47"/>
      <c r="G31" s="62"/>
      <c r="H31" s="47"/>
      <c r="I31" s="62"/>
      <c r="J31" s="47"/>
      <c r="K31" s="48"/>
      <c r="L31" s="47"/>
    </row>
    <row r="32" spans="1:12" ht="12.75">
      <c r="A32" s="73" t="s">
        <v>83</v>
      </c>
      <c r="B32" s="73"/>
      <c r="C32" s="74"/>
      <c r="D32" s="74"/>
      <c r="E32" s="62"/>
      <c r="F32" s="47"/>
      <c r="G32" s="62"/>
      <c r="H32" s="47"/>
      <c r="I32" s="62"/>
      <c r="J32" s="47"/>
      <c r="K32" s="48"/>
      <c r="L32" s="47"/>
    </row>
    <row r="33" spans="1:12" ht="12.75">
      <c r="A33" s="8" t="s">
        <v>92</v>
      </c>
      <c r="B33" s="8"/>
      <c r="C33" s="75">
        <v>24595</v>
      </c>
      <c r="D33" s="47">
        <f aca="true" t="shared" si="10" ref="D33:D39">C33/$C$41</f>
        <v>0.0030302548679051592</v>
      </c>
      <c r="E33" s="62">
        <v>24595</v>
      </c>
      <c r="F33" s="47">
        <f aca="true" t="shared" si="11" ref="F33:F39">E33/$E$41</f>
        <v>0.0029182615063687396</v>
      </c>
      <c r="G33" s="62">
        <v>25396</v>
      </c>
      <c r="H33" s="47">
        <f t="shared" si="8"/>
        <v>0.003154549838185853</v>
      </c>
      <c r="I33" s="62">
        <v>26431</v>
      </c>
      <c r="J33" s="47">
        <f aca="true" t="shared" si="12" ref="J33:J39">I33/$I$41</f>
        <v>0.00309390953647778</v>
      </c>
      <c r="K33" s="75">
        <v>26431</v>
      </c>
      <c r="L33" s="47">
        <f t="shared" si="5"/>
        <v>0.00306254031525939</v>
      </c>
    </row>
    <row r="34" spans="1:12" ht="12.75">
      <c r="A34" s="8" t="s">
        <v>101</v>
      </c>
      <c r="B34" s="8"/>
      <c r="C34" s="40">
        <v>843</v>
      </c>
      <c r="D34" s="47">
        <f t="shared" si="10"/>
        <v>0.00010386277103655415</v>
      </c>
      <c r="E34">
        <v>843</v>
      </c>
      <c r="F34" s="47">
        <f t="shared" si="11"/>
        <v>0.00010002416954132333</v>
      </c>
      <c r="G34" s="62">
        <v>911</v>
      </c>
      <c r="H34" s="47">
        <f t="shared" si="8"/>
        <v>0.00011315935196831439</v>
      </c>
      <c r="I34" s="62">
        <v>1048</v>
      </c>
      <c r="J34" s="47">
        <f t="shared" si="12"/>
        <v>0.00012267478317992938</v>
      </c>
      <c r="K34" s="75">
        <v>1048</v>
      </c>
      <c r="L34" s="47">
        <f t="shared" si="5"/>
        <v>0.00012143098068146649</v>
      </c>
    </row>
    <row r="35" spans="1:12" ht="12.75">
      <c r="A35" s="8" t="s">
        <v>94</v>
      </c>
      <c r="B35" s="8"/>
      <c r="C35" s="75">
        <v>9227</v>
      </c>
      <c r="D35" s="47">
        <f t="shared" si="10"/>
        <v>0.0011368229992340276</v>
      </c>
      <c r="E35" s="62">
        <v>9227</v>
      </c>
      <c r="F35" s="47">
        <f t="shared" si="11"/>
        <v>0.0010948078438407951</v>
      </c>
      <c r="G35" s="62">
        <v>9226</v>
      </c>
      <c r="H35" s="47">
        <f t="shared" si="8"/>
        <v>0.0011460023943574847</v>
      </c>
      <c r="I35" s="62">
        <v>5880</v>
      </c>
      <c r="J35" s="47">
        <f t="shared" si="12"/>
        <v>0.0006882898140247945</v>
      </c>
      <c r="K35" s="75">
        <v>5880</v>
      </c>
      <c r="L35" s="47">
        <f t="shared" si="5"/>
        <v>0.0006813112274876174</v>
      </c>
    </row>
    <row r="36" spans="1:12" ht="12.75">
      <c r="A36" s="32" t="s">
        <v>90</v>
      </c>
      <c r="B36" s="32"/>
      <c r="C36" s="75">
        <v>378</v>
      </c>
      <c r="D36" s="47">
        <f t="shared" si="10"/>
        <v>4.6571918685429974E-05</v>
      </c>
      <c r="E36" s="62">
        <v>378</v>
      </c>
      <c r="F36" s="47">
        <f t="shared" si="11"/>
        <v>4.485069523916989E-05</v>
      </c>
      <c r="G36" s="62">
        <v>359</v>
      </c>
      <c r="H36" s="47">
        <f t="shared" si="8"/>
        <v>4.459298282834782E-05</v>
      </c>
      <c r="I36" s="62">
        <v>342</v>
      </c>
      <c r="J36" s="47">
        <f t="shared" si="12"/>
        <v>4.003318306062581E-05</v>
      </c>
      <c r="K36" s="75">
        <v>342</v>
      </c>
      <c r="L36" s="47">
        <f t="shared" si="5"/>
        <v>3.962728568040223E-05</v>
      </c>
    </row>
    <row r="37" spans="1:12" ht="12.75">
      <c r="A37" s="24" t="s">
        <v>91</v>
      </c>
      <c r="B37" s="24"/>
      <c r="C37" s="75">
        <v>291</v>
      </c>
      <c r="D37" s="47">
        <f t="shared" si="10"/>
        <v>3.5852985019735776E-05</v>
      </c>
      <c r="E37" s="62">
        <v>291</v>
      </c>
      <c r="F37" s="47">
        <f t="shared" si="11"/>
        <v>3.4527916176186345E-05</v>
      </c>
      <c r="G37" s="62">
        <v>347</v>
      </c>
      <c r="H37" s="47">
        <f t="shared" si="8"/>
        <v>4.310240958617464E-05</v>
      </c>
      <c r="I37" s="62">
        <v>347</v>
      </c>
      <c r="J37" s="47">
        <f t="shared" si="12"/>
        <v>4.061846351472852E-05</v>
      </c>
      <c r="K37" s="75">
        <v>347</v>
      </c>
      <c r="L37" s="47">
        <f t="shared" si="5"/>
        <v>4.020663196227946E-05</v>
      </c>
    </row>
    <row r="38" spans="1:12" s="65" customFormat="1" ht="12.75">
      <c r="A38" s="76" t="s">
        <v>98</v>
      </c>
      <c r="B38" s="76"/>
      <c r="C38" s="75">
        <v>6</v>
      </c>
      <c r="D38" s="57">
        <f t="shared" si="10"/>
        <v>7.392368045306345E-07</v>
      </c>
      <c r="E38" s="77">
        <v>6</v>
      </c>
      <c r="F38" s="57">
        <f t="shared" si="11"/>
        <v>7.119157974471411E-07</v>
      </c>
      <c r="G38" s="77">
        <v>4</v>
      </c>
      <c r="H38" s="57">
        <f t="shared" si="8"/>
        <v>4.968577473910621E-07</v>
      </c>
      <c r="I38" s="77">
        <v>4</v>
      </c>
      <c r="J38" s="57">
        <f t="shared" si="12"/>
        <v>4.682243632821732E-07</v>
      </c>
      <c r="K38" s="75">
        <v>4</v>
      </c>
      <c r="L38" s="57">
        <f t="shared" si="5"/>
        <v>4.634770255017805E-07</v>
      </c>
    </row>
    <row r="39" spans="1:12" ht="12.75">
      <c r="A39" t="s">
        <v>40</v>
      </c>
      <c r="C39" s="62">
        <f>SUM(C33:C38)</f>
        <v>35340</v>
      </c>
      <c r="D39" s="47">
        <f t="shared" si="10"/>
        <v>0.0043541047786854374</v>
      </c>
      <c r="E39" s="62">
        <f>SUM(E33:E38)</f>
        <v>35340</v>
      </c>
      <c r="F39" s="47">
        <f t="shared" si="11"/>
        <v>0.004193184046963661</v>
      </c>
      <c r="G39" s="62">
        <f>SUM(G33:G38)</f>
        <v>36243</v>
      </c>
      <c r="H39" s="47">
        <f t="shared" si="8"/>
        <v>0.004501903834673565</v>
      </c>
      <c r="I39" s="62">
        <f>SUM(I33:I38)</f>
        <v>34052</v>
      </c>
      <c r="J39" s="47">
        <f t="shared" si="12"/>
        <v>0.00398599400462114</v>
      </c>
      <c r="K39" s="62">
        <f>SUM(K33:K38)</f>
        <v>34052</v>
      </c>
      <c r="L39" s="47">
        <f t="shared" si="5"/>
        <v>0.003945579918096657</v>
      </c>
    </row>
    <row r="40" spans="3:10" ht="12.75">
      <c r="C40" s="48"/>
      <c r="D40" s="48"/>
      <c r="E40" s="62"/>
      <c r="F40" s="47"/>
      <c r="G40" s="62"/>
      <c r="H40" s="47"/>
      <c r="I40" s="62"/>
      <c r="J40" s="47"/>
    </row>
    <row r="41" spans="1:11" s="43" customFormat="1" ht="38.25">
      <c r="A41" s="78" t="s">
        <v>99</v>
      </c>
      <c r="B41" s="79">
        <f>B29+B18+B10+B39</f>
        <v>5134994.544031999</v>
      </c>
      <c r="C41" s="79">
        <f>C29+C18+C10+C39</f>
        <v>8116479</v>
      </c>
      <c r="D41" s="80"/>
      <c r="E41" s="79">
        <f>E29+E18+E10+E39</f>
        <v>8427963</v>
      </c>
      <c r="F41" s="79"/>
      <c r="G41" s="79">
        <f>G29+G18+G10+G39</f>
        <v>8050594</v>
      </c>
      <c r="H41" s="79"/>
      <c r="I41" s="79">
        <f>I29+I18+I10+I39</f>
        <v>8542913</v>
      </c>
      <c r="K41" s="79">
        <f>K29+K18+K10+K39</f>
        <v>8630417</v>
      </c>
    </row>
    <row r="42" spans="1:11" s="81" customFormat="1" ht="11.25">
      <c r="A42" s="81" t="s">
        <v>107</v>
      </c>
      <c r="C42" s="82">
        <f>C41/C44</f>
        <v>13.573910396740848</v>
      </c>
      <c r="E42" s="82">
        <f>E41/E44</f>
        <v>14.125756321253423</v>
      </c>
      <c r="G42" s="82">
        <f>G41/G44</f>
        <v>13.514556033426333</v>
      </c>
      <c r="I42" s="82">
        <f>I41/I44</f>
        <v>14.042713757824417</v>
      </c>
      <c r="K42" s="82">
        <f>K41/K44</f>
        <v>14.170921295254859</v>
      </c>
    </row>
    <row r="43" spans="1:11" s="81" customFormat="1" ht="11.25">
      <c r="A43" s="81" t="s">
        <v>108</v>
      </c>
      <c r="C43" s="82">
        <f>C42*0.9072</f>
        <v>12.314251511923297</v>
      </c>
      <c r="E43" s="82">
        <f>E42*0.9072</f>
        <v>12.814886134641105</v>
      </c>
      <c r="G43" s="82">
        <f>G42*0.9072</f>
        <v>12.260405233524368</v>
      </c>
      <c r="I43" s="82">
        <f>I42*0.9072</f>
        <v>12.73954992109831</v>
      </c>
      <c r="K43" s="82">
        <f>K42*0.9072</f>
        <v>12.855859799055208</v>
      </c>
    </row>
    <row r="44" spans="1:11" s="81" customFormat="1" ht="11.25">
      <c r="A44" s="81" t="s">
        <v>109</v>
      </c>
      <c r="C44" s="83">
        <v>597947</v>
      </c>
      <c r="D44" s="83"/>
      <c r="E44" s="83">
        <v>596638</v>
      </c>
      <c r="F44" s="83"/>
      <c r="G44" s="83">
        <v>595698</v>
      </c>
      <c r="H44" s="83"/>
      <c r="I44" s="83">
        <v>608352</v>
      </c>
      <c r="J44" s="83"/>
      <c r="K44" s="83">
        <v>609023</v>
      </c>
    </row>
    <row r="45" spans="1:7" ht="12.75">
      <c r="A45" s="8" t="s">
        <v>85</v>
      </c>
      <c r="G45" s="84"/>
    </row>
    <row r="46" ht="12.75">
      <c r="A46" s="8" t="s">
        <v>86</v>
      </c>
    </row>
    <row r="47" ht="12.75">
      <c r="A47" s="8" t="s">
        <v>87</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S52"/>
  <sheetViews>
    <sheetView zoomScalePageLayoutView="0" workbookViewId="0" topLeftCell="A1">
      <selection activeCell="F35" sqref="F35"/>
    </sheetView>
  </sheetViews>
  <sheetFormatPr defaultColWidth="12.57421875" defaultRowHeight="12.75"/>
  <cols>
    <col min="1" max="1" width="20.421875" style="8" customWidth="1"/>
    <col min="2" max="2" width="17.28125" style="8" customWidth="1"/>
    <col min="3" max="3" width="19.00390625" style="8" customWidth="1"/>
    <col min="4" max="4" width="16.57421875" style="8" customWidth="1"/>
    <col min="5" max="6" width="20.421875" style="8" customWidth="1"/>
    <col min="7" max="7" width="19.8515625" style="8" customWidth="1"/>
    <col min="8" max="8" width="23.00390625" style="8" customWidth="1"/>
    <col min="9" max="9" width="16.140625" style="8" customWidth="1"/>
    <col min="10" max="10" width="17.140625" style="8" customWidth="1"/>
    <col min="11" max="11" width="18.57421875" style="8" customWidth="1"/>
    <col min="12" max="13" width="16.7109375" style="8" customWidth="1"/>
    <col min="14" max="14" width="2.421875" style="8" customWidth="1"/>
    <col min="15" max="15" width="17.8515625" style="8" customWidth="1"/>
    <col min="16" max="16" width="17.28125" style="8" customWidth="1"/>
    <col min="17" max="17" width="2.57421875" style="8" customWidth="1"/>
    <col min="18" max="18" width="15.57421875" style="8" customWidth="1"/>
    <col min="19" max="19" width="15.00390625" style="8" customWidth="1"/>
    <col min="20" max="16384" width="12.57421875" style="8" customWidth="1"/>
  </cols>
  <sheetData>
    <row r="1" spans="2:6" ht="13.5" thickBot="1">
      <c r="B1" s="9" t="s">
        <v>61</v>
      </c>
      <c r="C1" s="9"/>
      <c r="D1" s="9"/>
      <c r="E1" s="10" t="s">
        <v>62</v>
      </c>
      <c r="F1" t="s">
        <v>63</v>
      </c>
    </row>
    <row r="2" spans="9:10" ht="12.75">
      <c r="I2" s="11"/>
      <c r="J2" s="11"/>
    </row>
    <row r="3" spans="2:10" ht="12.75">
      <c r="B3" s="12">
        <v>1990</v>
      </c>
      <c r="C3" s="12">
        <v>2004</v>
      </c>
      <c r="D3" s="12">
        <v>2005</v>
      </c>
      <c r="E3" s="12">
        <v>2006</v>
      </c>
      <c r="F3" s="12">
        <v>2007</v>
      </c>
      <c r="G3" s="12">
        <v>2008</v>
      </c>
      <c r="J3" s="13"/>
    </row>
    <row r="4" spans="1:10" ht="12.75">
      <c r="A4" s="14" t="s">
        <v>64</v>
      </c>
      <c r="B4" s="14"/>
      <c r="C4" s="14"/>
      <c r="D4" s="12"/>
      <c r="E4" s="12"/>
      <c r="F4" s="12"/>
      <c r="G4" s="12"/>
      <c r="J4" s="13"/>
    </row>
    <row r="5" spans="1:10" ht="12.75">
      <c r="A5" s="8" t="s">
        <v>65</v>
      </c>
      <c r="B5" s="15">
        <v>1034714195</v>
      </c>
      <c r="C5" s="16">
        <v>1257203536</v>
      </c>
      <c r="D5" s="16">
        <v>1300668524</v>
      </c>
      <c r="E5" s="16">
        <v>1247372559</v>
      </c>
      <c r="F5" s="16">
        <v>1251947232</v>
      </c>
      <c r="G5" s="13">
        <v>1246359832</v>
      </c>
      <c r="I5" s="13"/>
      <c r="J5" s="13"/>
    </row>
    <row r="6" spans="1:7" ht="12.75">
      <c r="A6" s="8" t="s">
        <v>66</v>
      </c>
      <c r="C6" s="16">
        <v>51541071</v>
      </c>
      <c r="D6" s="16">
        <v>55457472</v>
      </c>
      <c r="E6" s="17">
        <v>56385947</v>
      </c>
      <c r="F6" s="16">
        <v>70654924</v>
      </c>
      <c r="G6" s="18">
        <v>76518407</v>
      </c>
    </row>
    <row r="7" spans="1:10" ht="12.75">
      <c r="A7" s="8" t="s">
        <v>67</v>
      </c>
      <c r="C7" s="16">
        <v>50162344</v>
      </c>
      <c r="D7" s="16">
        <v>36334931</v>
      </c>
      <c r="E7" s="16">
        <v>36820377</v>
      </c>
      <c r="F7" s="16">
        <v>34349140</v>
      </c>
      <c r="G7" s="19">
        <v>34349140</v>
      </c>
      <c r="I7" s="13"/>
      <c r="J7" s="13"/>
    </row>
    <row r="8" spans="1:10" ht="12.75">
      <c r="A8" s="8" t="s">
        <v>68</v>
      </c>
      <c r="C8" s="16">
        <v>498252</v>
      </c>
      <c r="D8" s="16">
        <v>491455</v>
      </c>
      <c r="E8" s="16">
        <v>436212</v>
      </c>
      <c r="F8" s="16">
        <v>382381</v>
      </c>
      <c r="G8" s="19">
        <v>382381</v>
      </c>
      <c r="I8" s="13"/>
      <c r="J8" s="13"/>
    </row>
    <row r="9" spans="1:10" ht="12.75">
      <c r="A9" s="20" t="s">
        <v>69</v>
      </c>
      <c r="B9" s="20"/>
      <c r="C9" s="17">
        <v>261076</v>
      </c>
      <c r="D9" s="13">
        <v>253129</v>
      </c>
      <c r="E9" s="16">
        <v>249897</v>
      </c>
      <c r="F9" s="16">
        <v>236364</v>
      </c>
      <c r="G9" s="13">
        <v>220777</v>
      </c>
      <c r="I9" s="13"/>
      <c r="J9" s="13"/>
    </row>
    <row r="10" spans="3:10" ht="12.75">
      <c r="C10" s="16"/>
      <c r="I10" s="13"/>
      <c r="J10" s="13"/>
    </row>
    <row r="11" spans="1:10" ht="12.75">
      <c r="A11" s="14" t="s">
        <v>70</v>
      </c>
      <c r="B11" s="14"/>
      <c r="C11" s="21"/>
      <c r="D11" s="14"/>
      <c r="E11" s="14"/>
      <c r="F11" s="14"/>
      <c r="G11" s="14"/>
      <c r="I11" s="13"/>
      <c r="J11" s="13"/>
    </row>
    <row r="12" spans="1:10" ht="12.75">
      <c r="A12" s="8" t="s">
        <v>65</v>
      </c>
      <c r="B12" s="15">
        <v>4304431861</v>
      </c>
      <c r="C12" s="16">
        <v>5324644500</v>
      </c>
      <c r="D12" s="16">
        <v>5391322420</v>
      </c>
      <c r="E12" s="16">
        <v>5428782998</v>
      </c>
      <c r="F12" s="16">
        <f>5462764666+78062342</f>
        <v>5540827008</v>
      </c>
      <c r="G12" s="13">
        <v>5531118810</v>
      </c>
      <c r="I12" s="13"/>
      <c r="J12" s="13"/>
    </row>
    <row r="13" spans="1:14" ht="12.75">
      <c r="A13" s="8" t="s">
        <v>71</v>
      </c>
      <c r="C13" s="16">
        <v>175235365</v>
      </c>
      <c r="D13" s="16">
        <v>195469646</v>
      </c>
      <c r="E13" s="17">
        <v>215620610</v>
      </c>
      <c r="F13" s="16">
        <v>226831489</v>
      </c>
      <c r="G13" s="22">
        <v>236638842</v>
      </c>
      <c r="H13" s="8" t="s">
        <v>72</v>
      </c>
      <c r="M13" s="13"/>
      <c r="N13" s="13"/>
    </row>
    <row r="14" spans="1:14" ht="12.75">
      <c r="A14" s="8" t="s">
        <v>67</v>
      </c>
      <c r="C14" s="16">
        <v>35838394</v>
      </c>
      <c r="D14" s="16">
        <v>36175407</v>
      </c>
      <c r="E14" s="16">
        <v>36512419</v>
      </c>
      <c r="F14" s="18">
        <v>36849432</v>
      </c>
      <c r="G14" s="18">
        <v>37186445</v>
      </c>
      <c r="M14" s="13"/>
      <c r="N14" s="13"/>
    </row>
    <row r="15" spans="1:17" ht="12.75">
      <c r="A15" s="8" t="s">
        <v>68</v>
      </c>
      <c r="C15" s="16">
        <v>4031313</v>
      </c>
      <c r="D15" s="16">
        <v>3976319</v>
      </c>
      <c r="E15" s="16">
        <v>3529348</v>
      </c>
      <c r="F15" s="16">
        <v>3093812</v>
      </c>
      <c r="G15" s="19">
        <v>3093812</v>
      </c>
      <c r="P15" s="13"/>
      <c r="Q15" s="13"/>
    </row>
    <row r="16" spans="1:19" ht="12.75">
      <c r="A16" s="20" t="s">
        <v>73</v>
      </c>
      <c r="B16" s="20"/>
      <c r="C16" s="23">
        <v>634886</v>
      </c>
      <c r="D16" s="13">
        <v>634886</v>
      </c>
      <c r="E16" s="16">
        <v>640024</v>
      </c>
      <c r="F16" s="16">
        <v>634793</v>
      </c>
      <c r="G16" s="19">
        <v>634793</v>
      </c>
      <c r="R16" s="13"/>
      <c r="S16" s="13"/>
    </row>
    <row r="17" spans="1:3" ht="12.75">
      <c r="A17" s="8" t="s">
        <v>74</v>
      </c>
      <c r="C17" s="16"/>
    </row>
    <row r="18" ht="12.75">
      <c r="C18" s="16"/>
    </row>
    <row r="19" spans="1:7" ht="12.75">
      <c r="A19" s="14" t="s">
        <v>38</v>
      </c>
      <c r="B19" s="14"/>
      <c r="C19" s="21"/>
      <c r="D19" s="14"/>
      <c r="E19" s="14"/>
      <c r="F19" s="14"/>
      <c r="G19" s="14"/>
    </row>
    <row r="20" spans="1:8" ht="12.75">
      <c r="A20" s="24" t="s">
        <v>75</v>
      </c>
      <c r="B20" s="25">
        <v>2544685800</v>
      </c>
      <c r="C20" s="25">
        <v>3059366104</v>
      </c>
      <c r="D20" s="13">
        <v>3067029330</v>
      </c>
      <c r="E20" s="26">
        <v>3074692556</v>
      </c>
      <c r="F20" s="27">
        <v>3082355782</v>
      </c>
      <c r="G20" s="27">
        <v>3090019008</v>
      </c>
      <c r="H20" s="24" t="s">
        <v>76</v>
      </c>
    </row>
    <row r="21" spans="1:8" ht="12.75">
      <c r="A21" s="24"/>
      <c r="B21" s="24"/>
      <c r="C21" s="25"/>
      <c r="D21" s="13"/>
      <c r="E21" s="26"/>
      <c r="F21" s="27"/>
      <c r="G21" s="27"/>
      <c r="H21" s="24"/>
    </row>
    <row r="22" spans="1:7" ht="12.75">
      <c r="A22" s="28" t="s">
        <v>77</v>
      </c>
      <c r="B22" s="28"/>
      <c r="C22" s="18"/>
      <c r="G22" s="8" t="s">
        <v>78</v>
      </c>
    </row>
    <row r="23" spans="1:7" ht="12.75">
      <c r="A23" s="24" t="s">
        <v>65</v>
      </c>
      <c r="B23" s="24"/>
      <c r="C23" s="29">
        <v>447075000</v>
      </c>
      <c r="D23" s="30">
        <v>447075000</v>
      </c>
      <c r="E23" s="31">
        <v>406231550</v>
      </c>
      <c r="F23" s="31">
        <v>428025310</v>
      </c>
      <c r="G23" s="23">
        <v>428025310</v>
      </c>
    </row>
    <row r="24" spans="1:7" ht="12.75">
      <c r="A24" s="24" t="s">
        <v>79</v>
      </c>
      <c r="B24" s="24"/>
      <c r="C24" s="29">
        <v>5075978</v>
      </c>
      <c r="D24" s="30">
        <v>5075978</v>
      </c>
      <c r="E24" s="31">
        <v>4858819</v>
      </c>
      <c r="F24" s="31">
        <v>5274388</v>
      </c>
      <c r="G24" s="23">
        <v>5274388</v>
      </c>
    </row>
    <row r="25" spans="1:7" ht="12.75">
      <c r="A25" s="24" t="s">
        <v>80</v>
      </c>
      <c r="B25" s="24"/>
      <c r="C25" s="29">
        <v>7884422</v>
      </c>
      <c r="D25" s="30">
        <v>7884422</v>
      </c>
      <c r="E25" s="31">
        <v>7703067</v>
      </c>
      <c r="F25" s="31">
        <v>8147632</v>
      </c>
      <c r="G25" s="23">
        <v>8147632</v>
      </c>
    </row>
    <row r="26" spans="1:7" ht="12.75">
      <c r="A26" s="32" t="s">
        <v>81</v>
      </c>
      <c r="B26" s="32"/>
      <c r="C26" s="29">
        <v>463817</v>
      </c>
      <c r="D26" s="30">
        <v>463817</v>
      </c>
      <c r="E26" s="31">
        <v>465613</v>
      </c>
      <c r="F26" s="31">
        <v>487285</v>
      </c>
      <c r="G26" s="23">
        <v>487285</v>
      </c>
    </row>
    <row r="27" ht="12.75">
      <c r="C27" s="16"/>
    </row>
    <row r="28" spans="1:3" ht="12.75">
      <c r="A28" s="33" t="s">
        <v>82</v>
      </c>
      <c r="B28" s="33"/>
      <c r="C28" s="34"/>
    </row>
    <row r="29" spans="1:3" ht="12.75">
      <c r="A29" s="35" t="s">
        <v>83</v>
      </c>
      <c r="B29" s="35"/>
      <c r="C29" s="35"/>
    </row>
    <row r="30" spans="1:7" ht="12.75">
      <c r="A30" s="8" t="s">
        <v>65</v>
      </c>
      <c r="C30" s="19">
        <f>19881364+33865713</f>
        <v>53747077</v>
      </c>
      <c r="D30" s="16">
        <f>19881364+33865713</f>
        <v>53747077</v>
      </c>
      <c r="E30" s="16">
        <v>55497115</v>
      </c>
      <c r="F30" s="16">
        <v>57758822</v>
      </c>
      <c r="G30" s="19">
        <v>57758822</v>
      </c>
    </row>
    <row r="31" spans="1:7" ht="12.75">
      <c r="A31" s="8" t="s">
        <v>66</v>
      </c>
      <c r="C31" s="19">
        <f>50828+86581</f>
        <v>137409</v>
      </c>
      <c r="D31" s="16">
        <f>50828+86581</f>
        <v>137409</v>
      </c>
      <c r="E31" s="16">
        <v>147511</v>
      </c>
      <c r="F31" s="16">
        <v>169605</v>
      </c>
      <c r="G31" s="19">
        <v>169605</v>
      </c>
    </row>
    <row r="32" spans="1:7" ht="12.75">
      <c r="A32" s="8" t="s">
        <v>67</v>
      </c>
      <c r="C32" s="19">
        <f>295012+502521</f>
        <v>797533</v>
      </c>
      <c r="D32" s="16">
        <f>295012+502521</f>
        <v>797533</v>
      </c>
      <c r="E32" s="16">
        <v>800528</v>
      </c>
      <c r="F32" s="16">
        <v>508250</v>
      </c>
      <c r="G32" s="19">
        <v>508250</v>
      </c>
    </row>
    <row r="33" spans="1:7" ht="12.75">
      <c r="A33" s="32" t="s">
        <v>81</v>
      </c>
      <c r="B33" s="32"/>
      <c r="C33" s="19">
        <v>35175</v>
      </c>
      <c r="D33" s="16">
        <v>35175</v>
      </c>
      <c r="E33" s="16">
        <v>33433</v>
      </c>
      <c r="F33" s="16">
        <v>31870</v>
      </c>
      <c r="G33" s="19">
        <v>31870</v>
      </c>
    </row>
    <row r="34" spans="1:7" ht="12.75">
      <c r="A34" s="24" t="s">
        <v>79</v>
      </c>
      <c r="B34" s="24"/>
      <c r="C34" s="19">
        <f>6364+21096</f>
        <v>27460</v>
      </c>
      <c r="D34" s="16">
        <f>6364+21096</f>
        <v>27460</v>
      </c>
      <c r="E34" s="16">
        <f>6393+21800</f>
        <v>28193</v>
      </c>
      <c r="F34" s="16">
        <f>3954+28833</f>
        <v>32787</v>
      </c>
      <c r="G34" s="19">
        <f>3954+28833</f>
        <v>32787</v>
      </c>
    </row>
    <row r="35" spans="1:7" ht="12.75">
      <c r="A35" s="24" t="s">
        <v>84</v>
      </c>
      <c r="B35" s="24"/>
      <c r="C35" s="19">
        <v>914</v>
      </c>
      <c r="D35" s="16">
        <v>914</v>
      </c>
      <c r="E35" s="16">
        <v>639</v>
      </c>
      <c r="F35" s="16">
        <v>669</v>
      </c>
      <c r="G35" s="19">
        <v>669</v>
      </c>
    </row>
    <row r="36" spans="4:6" ht="12.75">
      <c r="D36" s="16"/>
      <c r="E36" s="16"/>
      <c r="F36" s="16"/>
    </row>
    <row r="37" spans="4:6" ht="12.75">
      <c r="D37" s="16"/>
      <c r="E37" s="16"/>
      <c r="F37" s="16"/>
    </row>
    <row r="38" spans="4:6" ht="12.75">
      <c r="D38" s="16"/>
      <c r="E38" s="16"/>
      <c r="F38" s="16"/>
    </row>
    <row r="40" spans="1:8" ht="12.75">
      <c r="A40" s="8" t="s">
        <v>85</v>
      </c>
      <c r="H40" s="13"/>
    </row>
    <row r="41" spans="1:8" ht="12.75">
      <c r="A41" s="8" t="s">
        <v>86</v>
      </c>
      <c r="G41" s="36"/>
      <c r="H41" s="13"/>
    </row>
    <row r="42" spans="1:9" ht="12.75">
      <c r="A42" s="8" t="s">
        <v>87</v>
      </c>
      <c r="H42" s="16"/>
      <c r="I42" s="37"/>
    </row>
    <row r="43" spans="8:9" ht="12.75">
      <c r="H43" s="16"/>
      <c r="I43" s="37"/>
    </row>
    <row r="44" spans="8:9" ht="12.75">
      <c r="H44" s="16"/>
      <c r="I44" s="37"/>
    </row>
    <row r="45" spans="8:9" ht="12.75">
      <c r="H45" s="16"/>
      <c r="I45" s="37"/>
    </row>
    <row r="46" spans="8:9" ht="12.75">
      <c r="H46" s="16"/>
      <c r="I46" s="37"/>
    </row>
    <row r="47" spans="1:9" ht="12.75">
      <c r="A47" s="8" t="s">
        <v>88</v>
      </c>
      <c r="G47" s="36"/>
      <c r="H47" s="16"/>
      <c r="I47" s="37"/>
    </row>
    <row r="48" spans="1:9" ht="12.75">
      <c r="A48" s="8" t="s">
        <v>89</v>
      </c>
      <c r="H48" s="16"/>
      <c r="I48" s="37"/>
    </row>
    <row r="49" spans="8:9" ht="12.75">
      <c r="H49" s="16"/>
      <c r="I49" s="37"/>
    </row>
    <row r="50" spans="8:9" ht="12.75">
      <c r="H50" s="16"/>
      <c r="I50" s="37"/>
    </row>
    <row r="51" spans="8:9" ht="12.75">
      <c r="H51" s="16"/>
      <c r="I51" s="37"/>
    </row>
    <row r="52" ht="12.75">
      <c r="I52" s="38"/>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165"/>
  <sheetViews>
    <sheetView zoomScalePageLayoutView="0" workbookViewId="0" topLeftCell="A1">
      <selection activeCell="A1" sqref="A1:IV16384"/>
    </sheetView>
  </sheetViews>
  <sheetFormatPr defaultColWidth="9.140625" defaultRowHeight="12.75"/>
  <cols>
    <col min="10" max="10" width="13.57421875" style="0" customWidth="1"/>
    <col min="18" max="18" width="11.00390625" style="0" customWidth="1"/>
    <col min="20" max="20" width="11.140625" style="0" customWidth="1"/>
    <col min="21" max="22" width="11.00390625" style="0" bestFit="1" customWidth="1"/>
  </cols>
  <sheetData>
    <row r="1" spans="1:8" ht="15.75">
      <c r="A1" s="160" t="s">
        <v>290</v>
      </c>
      <c r="B1" s="103"/>
      <c r="C1" s="103"/>
      <c r="D1" s="103"/>
      <c r="E1" s="103"/>
      <c r="F1" s="103"/>
      <c r="G1" s="103"/>
      <c r="H1" s="103"/>
    </row>
    <row r="3" ht="12.75">
      <c r="F3" s="161"/>
    </row>
    <row r="4" spans="1:6" ht="12.75">
      <c r="A4" s="4" t="s">
        <v>262</v>
      </c>
      <c r="F4" s="161"/>
    </row>
    <row r="5" spans="1:6" ht="12.75">
      <c r="A5" t="s">
        <v>293</v>
      </c>
      <c r="F5" s="161"/>
    </row>
    <row r="6" spans="1:6" ht="12.75">
      <c r="A6" t="s">
        <v>294</v>
      </c>
      <c r="F6" s="161"/>
    </row>
    <row r="7" spans="1:6" ht="12.75">
      <c r="A7" t="s">
        <v>295</v>
      </c>
      <c r="F7" s="161"/>
    </row>
    <row r="8" spans="1:6" ht="12.75">
      <c r="A8" t="s">
        <v>521</v>
      </c>
      <c r="F8" s="161"/>
    </row>
    <row r="9" spans="1:6" ht="12.75">
      <c r="A9" t="s">
        <v>524</v>
      </c>
      <c r="F9" s="161"/>
    </row>
    <row r="11" ht="15.75">
      <c r="A11" s="98" t="s">
        <v>520</v>
      </c>
    </row>
    <row r="15" spans="10:11" ht="12.75">
      <c r="J15">
        <v>1280000</v>
      </c>
      <c r="K15" t="s">
        <v>547</v>
      </c>
    </row>
    <row r="16" spans="10:11" ht="12.75">
      <c r="J16">
        <v>100000000</v>
      </c>
      <c r="K16" t="s">
        <v>548</v>
      </c>
    </row>
    <row r="17" spans="10:11" ht="12.75">
      <c r="J17" s="293">
        <f>J15/J16</f>
        <v>0.0128</v>
      </c>
      <c r="K17" t="s">
        <v>525</v>
      </c>
    </row>
    <row r="61" ht="12.75">
      <c r="A61" s="4" t="s">
        <v>296</v>
      </c>
    </row>
    <row r="62" ht="12.75">
      <c r="A62" t="s">
        <v>291</v>
      </c>
    </row>
    <row r="63" ht="12.75">
      <c r="A63" t="s">
        <v>292</v>
      </c>
    </row>
    <row r="165" ht="12.75">
      <c r="G165" s="161"/>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L59"/>
  <sheetViews>
    <sheetView zoomScalePageLayoutView="0" workbookViewId="0" topLeftCell="A1">
      <selection activeCell="H33" sqref="H33"/>
    </sheetView>
  </sheetViews>
  <sheetFormatPr defaultColWidth="9.140625" defaultRowHeight="12.75"/>
  <cols>
    <col min="3" max="3" width="10.8515625" style="0" customWidth="1"/>
  </cols>
  <sheetData>
    <row r="1" ht="15.75">
      <c r="A1" s="98" t="s">
        <v>126</v>
      </c>
    </row>
    <row r="3" ht="12.75">
      <c r="A3" s="4" t="s">
        <v>127</v>
      </c>
    </row>
    <row r="4" spans="10:12" ht="12.75">
      <c r="J4" s="168"/>
      <c r="K4" s="103"/>
      <c r="L4" s="103"/>
    </row>
    <row r="5" spans="1:12" ht="12.75">
      <c r="A5" t="s">
        <v>134</v>
      </c>
      <c r="J5" s="103"/>
      <c r="K5" s="103"/>
      <c r="L5" s="103"/>
    </row>
    <row r="6" spans="1:12" ht="12.75">
      <c r="A6" t="s">
        <v>309</v>
      </c>
      <c r="D6" s="1">
        <v>0.008</v>
      </c>
      <c r="J6" s="103"/>
      <c r="K6" s="103"/>
      <c r="L6" s="103"/>
    </row>
    <row r="7" spans="1:12" ht="12.75">
      <c r="A7" t="s">
        <v>310</v>
      </c>
      <c r="D7" s="164">
        <v>0.0001</v>
      </c>
      <c r="J7" s="103"/>
      <c r="K7" s="103"/>
      <c r="L7" s="103"/>
    </row>
    <row r="8" spans="1:12" ht="12.75">
      <c r="A8" t="s">
        <v>128</v>
      </c>
      <c r="D8" s="1">
        <v>0.024</v>
      </c>
      <c r="J8" s="103"/>
      <c r="K8" s="103"/>
      <c r="L8" s="103"/>
    </row>
    <row r="9" spans="1:12" ht="12.75">
      <c r="A9" t="s">
        <v>129</v>
      </c>
      <c r="D9" s="1">
        <f>+D8-D6-D7</f>
        <v>0.0159</v>
      </c>
      <c r="J9" s="103"/>
      <c r="K9" s="103"/>
      <c r="L9" s="103"/>
    </row>
    <row r="10" spans="1:12" ht="12.75">
      <c r="A10" s="147" t="s">
        <v>130</v>
      </c>
      <c r="B10" s="147"/>
      <c r="C10" s="147"/>
      <c r="D10" s="159">
        <f>+D9*10</f>
        <v>0.159</v>
      </c>
      <c r="F10">
        <f>+D10*38</f>
        <v>6.042</v>
      </c>
      <c r="J10" s="103"/>
      <c r="K10" s="103"/>
      <c r="L10" s="103"/>
    </row>
    <row r="11" spans="10:12" ht="12.75">
      <c r="J11" s="103"/>
      <c r="K11" s="103"/>
      <c r="L11" s="103"/>
    </row>
    <row r="12" spans="1:12" ht="12.75">
      <c r="A12" s="4" t="s">
        <v>131</v>
      </c>
      <c r="J12" s="103"/>
      <c r="K12" s="103"/>
      <c r="L12" s="103"/>
    </row>
    <row r="13" spans="10:12" ht="12.75">
      <c r="J13" s="103"/>
      <c r="K13" s="287"/>
      <c r="L13" s="103"/>
    </row>
    <row r="14" spans="1:11" ht="12.75">
      <c r="A14" t="s">
        <v>132</v>
      </c>
      <c r="K14" s="95"/>
    </row>
    <row r="15" ht="12.75">
      <c r="K15" s="96"/>
    </row>
    <row r="16" spans="1:11" ht="12.75">
      <c r="A16" s="4" t="s">
        <v>303</v>
      </c>
      <c r="K16" s="96"/>
    </row>
    <row r="17" ht="12.75">
      <c r="A17" t="s">
        <v>286</v>
      </c>
    </row>
    <row r="18" ht="12.75">
      <c r="A18" t="s">
        <v>289</v>
      </c>
    </row>
    <row r="19" ht="12.75">
      <c r="A19" t="s">
        <v>311</v>
      </c>
    </row>
    <row r="21" ht="12.75">
      <c r="A21" s="4" t="s">
        <v>133</v>
      </c>
    </row>
    <row r="22" spans="10:12" ht="12.75">
      <c r="J22" s="168"/>
      <c r="K22" s="103"/>
      <c r="L22" s="103"/>
    </row>
    <row r="23" spans="1:12" ht="12.75">
      <c r="A23" t="s">
        <v>305</v>
      </c>
      <c r="J23" s="103"/>
      <c r="K23" s="103"/>
      <c r="L23" s="103"/>
    </row>
    <row r="24" spans="1:12" ht="12.75">
      <c r="A24" t="s">
        <v>135</v>
      </c>
      <c r="D24" s="1">
        <v>0.0038</v>
      </c>
      <c r="J24" s="103"/>
      <c r="K24" s="103"/>
      <c r="L24" s="103"/>
    </row>
    <row r="25" spans="1:12" ht="12.75">
      <c r="A25" t="s">
        <v>128</v>
      </c>
      <c r="D25" s="1">
        <v>0.0115</v>
      </c>
      <c r="J25" s="103"/>
      <c r="K25" s="103"/>
      <c r="L25" s="103"/>
    </row>
    <row r="26" spans="1:12" ht="12.75">
      <c r="A26" t="s">
        <v>129</v>
      </c>
      <c r="D26" s="1">
        <f>+D25-D24</f>
        <v>0.0077</v>
      </c>
      <c r="J26" s="103"/>
      <c r="K26" s="103"/>
      <c r="L26" s="103"/>
    </row>
    <row r="27" spans="1:12" ht="12.75">
      <c r="A27" s="147" t="s">
        <v>130</v>
      </c>
      <c r="B27" s="147"/>
      <c r="C27" s="147"/>
      <c r="D27" s="159">
        <f>+D26*10</f>
        <v>0.077</v>
      </c>
      <c r="J27" s="103"/>
      <c r="K27" s="103"/>
      <c r="L27" s="103"/>
    </row>
    <row r="28" spans="10:12" ht="12.75">
      <c r="J28" s="103"/>
      <c r="K28" s="103"/>
      <c r="L28" s="103"/>
    </row>
    <row r="29" spans="10:12" ht="12.75">
      <c r="J29" s="103"/>
      <c r="K29" s="103"/>
      <c r="L29" s="103"/>
    </row>
    <row r="30" spans="10:12" ht="12.75">
      <c r="J30" s="103"/>
      <c r="K30" s="103"/>
      <c r="L30" s="103"/>
    </row>
    <row r="31" ht="12.75">
      <c r="A31" s="4" t="s">
        <v>131</v>
      </c>
    </row>
    <row r="32" ht="12.75">
      <c r="A32" t="s">
        <v>306</v>
      </c>
    </row>
    <row r="33" ht="12.75">
      <c r="A33" t="s">
        <v>307</v>
      </c>
    </row>
    <row r="37" ht="12.75">
      <c r="A37" s="4" t="s">
        <v>303</v>
      </c>
    </row>
    <row r="38" ht="12.75">
      <c r="A38" t="s">
        <v>287</v>
      </c>
    </row>
    <row r="39" ht="12.75">
      <c r="A39" t="s">
        <v>288</v>
      </c>
    </row>
    <row r="45" ht="12.75">
      <c r="A45" s="165" t="s">
        <v>312</v>
      </c>
    </row>
    <row r="48" ht="12.75">
      <c r="A48" s="4" t="s">
        <v>313</v>
      </c>
    </row>
    <row r="50" ht="12.75">
      <c r="A50" t="s">
        <v>305</v>
      </c>
    </row>
    <row r="51" spans="1:4" ht="12.75">
      <c r="A51" t="s">
        <v>135</v>
      </c>
      <c r="D51" s="1">
        <v>0.001</v>
      </c>
    </row>
    <row r="52" spans="1:4" ht="12.75">
      <c r="A52" t="s">
        <v>315</v>
      </c>
      <c r="D52" s="1">
        <v>0.0115</v>
      </c>
    </row>
    <row r="53" spans="1:4" ht="12.75">
      <c r="A53" t="s">
        <v>316</v>
      </c>
      <c r="D53" s="1">
        <f>+D54/2</f>
        <v>0.026249999999999996</v>
      </c>
    </row>
    <row r="54" spans="1:4" ht="12.75">
      <c r="A54" t="s">
        <v>317</v>
      </c>
      <c r="D54" s="1">
        <f>(+D52-D51)*5</f>
        <v>0.05249999999999999</v>
      </c>
    </row>
    <row r="55" spans="1:4" ht="12.75">
      <c r="A55" s="147" t="s">
        <v>130</v>
      </c>
      <c r="B55" s="147"/>
      <c r="C55" s="147"/>
      <c r="D55" s="159">
        <f>+D54+D53</f>
        <v>0.07874999999999999</v>
      </c>
    </row>
    <row r="57" ht="12.75">
      <c r="A57" t="s">
        <v>131</v>
      </c>
    </row>
    <row r="58" ht="12.75">
      <c r="A58" t="s">
        <v>314</v>
      </c>
    </row>
    <row r="59" ht="12.75">
      <c r="A59" t="s">
        <v>318</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47"/>
  <sheetViews>
    <sheetView zoomScalePageLayoutView="0" workbookViewId="0" topLeftCell="A1">
      <selection activeCell="B49" sqref="B49"/>
    </sheetView>
  </sheetViews>
  <sheetFormatPr defaultColWidth="9.140625" defaultRowHeight="12.75"/>
  <cols>
    <col min="1" max="1" width="15.7109375" style="0" customWidth="1"/>
    <col min="2" max="2" width="59.421875" style="0" customWidth="1"/>
    <col min="3" max="3" width="13.00390625" style="0" customWidth="1"/>
    <col min="4" max="4" width="28.00390625" style="0" customWidth="1"/>
    <col min="5" max="5" width="62.00390625" style="0" customWidth="1"/>
  </cols>
  <sheetData>
    <row r="1" spans="1:5" ht="12.75">
      <c r="A1" s="103" t="s">
        <v>366</v>
      </c>
      <c r="B1" s="103"/>
      <c r="C1" s="103"/>
      <c r="D1" s="103"/>
      <c r="E1" s="103"/>
    </row>
    <row r="2" spans="1:5" ht="12.75">
      <c r="A2" s="103"/>
      <c r="B2" s="103"/>
      <c r="C2" s="103"/>
      <c r="D2" s="103"/>
      <c r="E2" s="103"/>
    </row>
    <row r="3" spans="1:5" ht="12.75">
      <c r="A3" s="126">
        <v>3082355782</v>
      </c>
      <c r="B3" s="103" t="s">
        <v>327</v>
      </c>
      <c r="C3" s="103"/>
      <c r="D3" s="103"/>
      <c r="E3" s="103"/>
    </row>
    <row r="4" spans="1:5" ht="12.75">
      <c r="A4" s="103"/>
      <c r="B4" s="103"/>
      <c r="C4" s="103"/>
      <c r="D4" s="103"/>
      <c r="E4" s="103"/>
    </row>
    <row r="5" spans="1:5" ht="12.75">
      <c r="A5" s="168" t="s">
        <v>328</v>
      </c>
      <c r="B5" s="168"/>
      <c r="C5" s="103"/>
      <c r="D5" s="126"/>
      <c r="E5" s="103"/>
    </row>
    <row r="6" spans="1:3" ht="12.75">
      <c r="A6" s="126">
        <v>6300000</v>
      </c>
      <c r="B6" s="103" t="s">
        <v>197</v>
      </c>
      <c r="C6" s="103"/>
    </row>
    <row r="7" spans="1:3" ht="12.75">
      <c r="A7" s="107">
        <v>3.5</v>
      </c>
      <c r="B7" s="103" t="s">
        <v>329</v>
      </c>
      <c r="C7" s="103"/>
    </row>
    <row r="8" spans="1:3" ht="12.75">
      <c r="A8" s="122">
        <v>0.15</v>
      </c>
      <c r="B8" s="103" t="s">
        <v>330</v>
      </c>
      <c r="C8" s="103"/>
    </row>
    <row r="9" spans="1:3" ht="12.75">
      <c r="A9" s="103"/>
      <c r="B9" s="103"/>
      <c r="C9" s="103"/>
    </row>
    <row r="10" spans="1:3" ht="12.75">
      <c r="A10" s="126">
        <f>A6*A7*A8</f>
        <v>3307500</v>
      </c>
      <c r="B10" s="127" t="s">
        <v>331</v>
      </c>
      <c r="C10" s="103"/>
    </row>
    <row r="11" spans="1:3" ht="12.75">
      <c r="A11" s="214">
        <f>A10/A3</f>
        <v>0.0010730429041691982</v>
      </c>
      <c r="B11" s="215" t="s">
        <v>332</v>
      </c>
      <c r="C11" s="103"/>
    </row>
    <row r="12" spans="1:3" ht="12.75">
      <c r="A12" s="103"/>
      <c r="B12" s="103"/>
      <c r="C12" s="103"/>
    </row>
    <row r="13" spans="1:3" ht="12.75">
      <c r="A13" s="103"/>
      <c r="B13" s="103"/>
      <c r="C13" s="103"/>
    </row>
    <row r="14" spans="1:3" ht="12.75">
      <c r="A14" s="168" t="s">
        <v>333</v>
      </c>
      <c r="B14" s="103"/>
      <c r="C14" s="103"/>
    </row>
    <row r="15" spans="1:2" s="103" customFormat="1" ht="12.75">
      <c r="A15" s="126">
        <v>2735000</v>
      </c>
      <c r="B15" s="103" t="s">
        <v>200</v>
      </c>
    </row>
    <row r="16" spans="1:3" ht="12.75">
      <c r="A16" s="109">
        <v>0.085</v>
      </c>
      <c r="B16" s="103" t="s">
        <v>334</v>
      </c>
      <c r="C16" s="103"/>
    </row>
    <row r="17" spans="1:3" ht="12.75">
      <c r="A17" s="103"/>
      <c r="B17" s="103"/>
      <c r="C17" s="103"/>
    </row>
    <row r="18" spans="1:5" ht="12.75">
      <c r="A18" s="126">
        <f>A15*A16</f>
        <v>232475.00000000003</v>
      </c>
      <c r="B18" s="103" t="s">
        <v>335</v>
      </c>
      <c r="C18" s="103"/>
      <c r="D18" s="103"/>
      <c r="E18" s="103"/>
    </row>
    <row r="19" spans="1:5" ht="12.75">
      <c r="A19" s="107">
        <v>3.5</v>
      </c>
      <c r="B19" s="103" t="s">
        <v>336</v>
      </c>
      <c r="C19" s="103"/>
      <c r="D19" s="103"/>
      <c r="E19" s="103"/>
    </row>
    <row r="20" spans="1:5" ht="12.75">
      <c r="A20" s="109">
        <v>0.15</v>
      </c>
      <c r="B20" s="103" t="s">
        <v>337</v>
      </c>
      <c r="C20" s="103"/>
      <c r="D20" s="103"/>
      <c r="E20" s="103"/>
    </row>
    <row r="21" spans="1:5" ht="12.75">
      <c r="A21" s="103">
        <v>260</v>
      </c>
      <c r="B21" s="103" t="s">
        <v>338</v>
      </c>
      <c r="C21" s="103"/>
      <c r="D21" s="103"/>
      <c r="E21" s="103"/>
    </row>
    <row r="22" spans="1:5" ht="12.75">
      <c r="A22" s="103"/>
      <c r="B22" s="103"/>
      <c r="C22" s="103"/>
      <c r="D22" s="103"/>
      <c r="E22" s="103"/>
    </row>
    <row r="23" spans="1:5" ht="12.75">
      <c r="A23" s="126">
        <f>A18*A19*A20*A21</f>
        <v>31732837.500000004</v>
      </c>
      <c r="B23" s="103" t="s">
        <v>339</v>
      </c>
      <c r="C23" s="103"/>
      <c r="D23" s="103"/>
      <c r="E23" s="103"/>
    </row>
    <row r="24" spans="1:5" ht="12.75">
      <c r="A24" s="126"/>
      <c r="B24" s="103"/>
      <c r="C24" s="103"/>
      <c r="D24" s="103"/>
      <c r="E24" s="103"/>
    </row>
    <row r="25" spans="1:5" ht="12.75">
      <c r="A25" s="214">
        <f>A23/A3</f>
        <v>0.010294995044150943</v>
      </c>
      <c r="B25" s="215" t="s">
        <v>332</v>
      </c>
      <c r="C25" s="103"/>
      <c r="D25" s="103"/>
      <c r="E25" s="103"/>
    </row>
    <row r="26" spans="1:5" ht="12.75">
      <c r="A26" s="109">
        <v>0.23</v>
      </c>
      <c r="B26" s="103" t="s">
        <v>340</v>
      </c>
      <c r="C26" s="103"/>
      <c r="D26" s="103"/>
      <c r="E26" s="103"/>
    </row>
    <row r="27" spans="1:5" ht="12.75">
      <c r="A27" s="109">
        <f>A25*A26</f>
        <v>0.002367848860154717</v>
      </c>
      <c r="B27" s="103" t="s">
        <v>341</v>
      </c>
      <c r="C27" s="103"/>
      <c r="D27" s="103"/>
      <c r="E27" s="103"/>
    </row>
    <row r="28" spans="1:5" ht="12.75">
      <c r="A28" s="103"/>
      <c r="B28" s="103"/>
      <c r="C28" s="103"/>
      <c r="D28" s="103"/>
      <c r="E28" s="103"/>
    </row>
    <row r="29" spans="1:5" ht="12.75">
      <c r="A29" s="103"/>
      <c r="B29" s="103"/>
      <c r="C29" s="103"/>
      <c r="D29" s="103"/>
      <c r="E29" s="103"/>
    </row>
    <row r="30" spans="1:5" ht="12.75">
      <c r="A30" s="126"/>
      <c r="B30" s="126"/>
      <c r="C30" s="103"/>
      <c r="D30" s="103"/>
      <c r="E30" s="103"/>
    </row>
    <row r="31" spans="1:5" ht="12.75">
      <c r="A31" s="126"/>
      <c r="B31" s="103"/>
      <c r="C31" s="103"/>
      <c r="D31" s="103"/>
      <c r="E31" s="103"/>
    </row>
    <row r="32" spans="1:5" ht="12.75">
      <c r="A32" s="126"/>
      <c r="B32" s="103"/>
      <c r="C32" s="103"/>
      <c r="D32" s="103"/>
      <c r="E32" s="103"/>
    </row>
    <row r="33" spans="1:5" ht="12.75">
      <c r="A33" s="103"/>
      <c r="B33" s="103"/>
      <c r="C33" s="103"/>
      <c r="D33" s="103"/>
      <c r="E33" s="103"/>
    </row>
    <row r="34" spans="1:5" ht="12.75">
      <c r="A34" s="103"/>
      <c r="B34" s="103"/>
      <c r="C34" s="103"/>
      <c r="D34" s="103"/>
      <c r="E34" s="103"/>
    </row>
    <row r="35" spans="1:6" ht="12.75">
      <c r="A35" s="103"/>
      <c r="B35" s="103"/>
      <c r="C35" s="103"/>
      <c r="D35" s="103"/>
      <c r="E35" s="103"/>
      <c r="F35" s="216"/>
    </row>
    <row r="36" spans="1:5" ht="12.75">
      <c r="A36" s="103"/>
      <c r="B36" s="103"/>
      <c r="C36" s="103"/>
      <c r="D36" s="103"/>
      <c r="E36" s="103"/>
    </row>
    <row r="37" spans="1:5" ht="12.75">
      <c r="A37" s="103"/>
      <c r="B37" s="103"/>
      <c r="C37" s="103"/>
      <c r="D37" s="103"/>
      <c r="E37" s="103"/>
    </row>
    <row r="38" spans="1:5" ht="12.75">
      <c r="A38" s="103"/>
      <c r="B38" s="103"/>
      <c r="C38" s="103"/>
      <c r="D38" s="103"/>
      <c r="E38" s="103"/>
    </row>
    <row r="39" spans="1:5" ht="12.75">
      <c r="A39" s="103"/>
      <c r="B39" s="103"/>
      <c r="C39" s="103"/>
      <c r="D39" s="103"/>
      <c r="E39" s="103"/>
    </row>
    <row r="40" spans="1:5" ht="12.75">
      <c r="A40" s="103"/>
      <c r="B40" s="103"/>
      <c r="C40" s="103"/>
      <c r="D40" s="103"/>
      <c r="E40" s="103"/>
    </row>
    <row r="41" spans="1:5" ht="12.75">
      <c r="A41" s="103"/>
      <c r="B41" s="103"/>
      <c r="C41" s="103"/>
      <c r="D41" s="103"/>
      <c r="E41" s="103"/>
    </row>
    <row r="42" spans="1:5" ht="12.75">
      <c r="A42" s="103"/>
      <c r="B42" s="103"/>
      <c r="C42" s="103"/>
      <c r="D42" s="103"/>
      <c r="E42" s="103"/>
    </row>
    <row r="43" spans="1:5" ht="12.75">
      <c r="A43" s="103"/>
      <c r="B43" s="103"/>
      <c r="C43" s="103"/>
      <c r="D43" s="103"/>
      <c r="E43" s="103"/>
    </row>
    <row r="44" spans="1:5" ht="12.75">
      <c r="A44" s="103"/>
      <c r="B44" s="103"/>
      <c r="C44" s="103"/>
      <c r="D44" s="103"/>
      <c r="E44" s="103"/>
    </row>
    <row r="45" spans="1:5" ht="12.75">
      <c r="A45" s="103"/>
      <c r="B45" s="103"/>
      <c r="C45" s="103"/>
      <c r="D45" s="103"/>
      <c r="E45" s="103"/>
    </row>
    <row r="46" spans="1:5" ht="12.75">
      <c r="A46" s="103"/>
      <c r="B46" s="103"/>
      <c r="C46" s="103"/>
      <c r="D46" s="103"/>
      <c r="E46" s="103"/>
    </row>
    <row r="47" spans="1:5" ht="12.75">
      <c r="A47" s="103"/>
      <c r="B47" s="103"/>
      <c r="C47" s="103"/>
      <c r="D47" s="103"/>
      <c r="E47" s="103"/>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8"/>
  <sheetViews>
    <sheetView zoomScalePageLayoutView="0" workbookViewId="0" topLeftCell="A19">
      <selection activeCell="C41" sqref="C41"/>
    </sheetView>
  </sheetViews>
  <sheetFormatPr defaultColWidth="9.140625" defaultRowHeight="12.75"/>
  <cols>
    <col min="1" max="1" width="15.7109375" style="0" customWidth="1"/>
    <col min="2" max="2" width="59.421875" style="0" customWidth="1"/>
    <col min="4" max="4" width="10.140625" style="0" bestFit="1" customWidth="1"/>
    <col min="5" max="5" width="62.00390625" style="0" customWidth="1"/>
  </cols>
  <sheetData>
    <row r="1" spans="1:5" ht="12.75">
      <c r="A1" s="383" t="s">
        <v>195</v>
      </c>
      <c r="B1" s="383"/>
      <c r="C1" s="119"/>
      <c r="D1" s="383" t="s">
        <v>196</v>
      </c>
      <c r="E1" s="383"/>
    </row>
    <row r="2" spans="1:5" ht="12.75">
      <c r="A2" s="105">
        <v>635000</v>
      </c>
      <c r="B2" t="s">
        <v>197</v>
      </c>
      <c r="D2" s="105">
        <f>A2*3</f>
        <v>1905000</v>
      </c>
      <c r="E2" t="s">
        <v>197</v>
      </c>
    </row>
    <row r="3" spans="1:5" ht="12.75">
      <c r="A3" s="105">
        <f>365*9/12</f>
        <v>273.75</v>
      </c>
      <c r="B3" t="s">
        <v>198</v>
      </c>
      <c r="D3" s="105">
        <f>365*9/12</f>
        <v>273.75</v>
      </c>
      <c r="E3" t="s">
        <v>198</v>
      </c>
    </row>
    <row r="4" spans="1:5" ht="12.75">
      <c r="A4" s="105">
        <f>A2/A3</f>
        <v>2319.634703196347</v>
      </c>
      <c r="B4" t="s">
        <v>199</v>
      </c>
      <c r="D4" s="105">
        <f>D2/D3</f>
        <v>6958.904109589041</v>
      </c>
      <c r="E4" t="s">
        <v>199</v>
      </c>
    </row>
    <row r="5" spans="1:5" ht="12.75">
      <c r="A5" s="105">
        <v>2735000</v>
      </c>
      <c r="B5" t="s">
        <v>200</v>
      </c>
      <c r="D5" s="105">
        <v>2735000</v>
      </c>
      <c r="E5" t="s">
        <v>200</v>
      </c>
    </row>
    <row r="6" spans="1:5" ht="12.75">
      <c r="A6" s="120">
        <v>0.52</v>
      </c>
      <c r="B6" t="s">
        <v>201</v>
      </c>
      <c r="D6" s="120">
        <v>0.52</v>
      </c>
      <c r="E6" t="s">
        <v>201</v>
      </c>
    </row>
    <row r="7" spans="1:5" ht="12.75">
      <c r="A7" s="105">
        <f>A5*A6</f>
        <v>1422200</v>
      </c>
      <c r="B7" t="s">
        <v>202</v>
      </c>
      <c r="D7" s="105">
        <f>D5*D6</f>
        <v>1422200</v>
      </c>
      <c r="E7" t="s">
        <v>202</v>
      </c>
    </row>
    <row r="8" spans="1:5" ht="12.75">
      <c r="A8" s="105">
        <f>A7*0.015</f>
        <v>21333</v>
      </c>
      <c r="B8" t="s">
        <v>203</v>
      </c>
      <c r="D8" s="105">
        <f>D7*0.015</f>
        <v>21333</v>
      </c>
      <c r="E8" t="s">
        <v>203</v>
      </c>
    </row>
    <row r="9" spans="1:5" ht="12.75">
      <c r="A9" s="121">
        <v>0.3</v>
      </c>
      <c r="B9" t="s">
        <v>204</v>
      </c>
      <c r="D9" s="121">
        <v>0.3</v>
      </c>
      <c r="E9" t="s">
        <v>204</v>
      </c>
    </row>
    <row r="10" spans="1:5" ht="12.75">
      <c r="A10" s="105">
        <f>A8*A9</f>
        <v>6399.9</v>
      </c>
      <c r="B10" t="s">
        <v>205</v>
      </c>
      <c r="D10" s="105">
        <f>D8*D9</f>
        <v>6399.9</v>
      </c>
      <c r="E10" t="s">
        <v>205</v>
      </c>
    </row>
    <row r="11" spans="1:5" ht="12.75">
      <c r="A11" s="2">
        <f>A4/A10</f>
        <v>0.36244858563357973</v>
      </c>
      <c r="B11" t="s">
        <v>206</v>
      </c>
      <c r="D11" s="122">
        <f>D4/D10</f>
        <v>1.0873457569007392</v>
      </c>
      <c r="E11" s="103" t="s">
        <v>206</v>
      </c>
    </row>
    <row r="12" spans="1:5" ht="12.75">
      <c r="A12" s="104">
        <v>3.5</v>
      </c>
      <c r="B12" t="s">
        <v>207</v>
      </c>
      <c r="D12" s="104">
        <v>3.5</v>
      </c>
      <c r="E12" t="s">
        <v>207</v>
      </c>
    </row>
    <row r="13" spans="1:5" ht="12.75">
      <c r="A13" s="123">
        <v>0.2</v>
      </c>
      <c r="B13" t="s">
        <v>208</v>
      </c>
      <c r="D13" s="123">
        <v>0.2</v>
      </c>
      <c r="E13" t="s">
        <v>208</v>
      </c>
    </row>
    <row r="14" spans="1:5" ht="12.75">
      <c r="A14" s="124">
        <f>A13*A4</f>
        <v>463.9269406392694</v>
      </c>
      <c r="B14" s="125" t="s">
        <v>209</v>
      </c>
      <c r="D14" s="124">
        <f>D13*D4</f>
        <v>1391.7808219178082</v>
      </c>
      <c r="E14" s="125" t="s">
        <v>209</v>
      </c>
    </row>
    <row r="15" spans="1:5" ht="12.75">
      <c r="A15" s="105">
        <f>A14*A12</f>
        <v>1623.7442922374428</v>
      </c>
      <c r="B15" t="s">
        <v>210</v>
      </c>
      <c r="D15" s="105">
        <f>D14*D12</f>
        <v>4871.232876712329</v>
      </c>
      <c r="E15" t="s">
        <v>210</v>
      </c>
    </row>
    <row r="16" spans="1:5" ht="12.75">
      <c r="A16" s="105">
        <f>A14*A3</f>
        <v>127000</v>
      </c>
      <c r="B16" t="s">
        <v>211</v>
      </c>
      <c r="D16" s="105">
        <f>D14*D3</f>
        <v>381000</v>
      </c>
      <c r="E16" t="s">
        <v>211</v>
      </c>
    </row>
    <row r="17" spans="1:5" ht="12.75">
      <c r="A17" s="125">
        <f>A15*A3</f>
        <v>444499.99999999994</v>
      </c>
      <c r="B17" s="124" t="s">
        <v>212</v>
      </c>
      <c r="D17" s="125">
        <f>D15*D3</f>
        <v>1333500</v>
      </c>
      <c r="E17" s="124" t="s">
        <v>212</v>
      </c>
    </row>
    <row r="18" spans="1:5" s="103" customFormat="1" ht="12.75">
      <c r="A18" s="126"/>
      <c r="B18" s="127"/>
      <c r="D18" s="126"/>
      <c r="E18" s="127"/>
    </row>
    <row r="20" spans="1:5" ht="12.75">
      <c r="A20" s="383" t="s">
        <v>213</v>
      </c>
      <c r="B20" s="383"/>
      <c r="D20" s="383" t="s">
        <v>214</v>
      </c>
      <c r="E20" s="383"/>
    </row>
    <row r="21" spans="1:5" ht="12.75">
      <c r="A21" s="105">
        <v>2500000</v>
      </c>
      <c r="B21" t="s">
        <v>197</v>
      </c>
      <c r="D21" s="105">
        <f>A21*4</f>
        <v>10000000</v>
      </c>
      <c r="E21" t="s">
        <v>197</v>
      </c>
    </row>
    <row r="22" spans="1:5" ht="12.75">
      <c r="A22" s="105">
        <f>365*9/12</f>
        <v>273.75</v>
      </c>
      <c r="B22" t="s">
        <v>198</v>
      </c>
      <c r="D22" s="105">
        <f>365*9/12</f>
        <v>273.75</v>
      </c>
      <c r="E22" t="s">
        <v>198</v>
      </c>
    </row>
    <row r="23" spans="1:5" ht="12.75">
      <c r="A23" s="105">
        <f>A21/A22</f>
        <v>9132.4200913242</v>
      </c>
      <c r="B23" t="s">
        <v>199</v>
      </c>
      <c r="D23" s="105">
        <f>D21/D22</f>
        <v>36529.6803652968</v>
      </c>
      <c r="E23" t="s">
        <v>199</v>
      </c>
    </row>
    <row r="24" spans="1:5" ht="12.75">
      <c r="A24" s="105">
        <v>2735000</v>
      </c>
      <c r="B24" t="s">
        <v>200</v>
      </c>
      <c r="D24" s="105">
        <v>2735000</v>
      </c>
      <c r="E24" t="s">
        <v>200</v>
      </c>
    </row>
    <row r="25" spans="1:5" ht="12.75">
      <c r="A25" s="120">
        <v>0.52</v>
      </c>
      <c r="B25" t="s">
        <v>201</v>
      </c>
      <c r="D25" s="120">
        <v>0.52</v>
      </c>
      <c r="E25" t="s">
        <v>201</v>
      </c>
    </row>
    <row r="26" spans="1:5" ht="12.75">
      <c r="A26" s="105">
        <f>A24*A25</f>
        <v>1422200</v>
      </c>
      <c r="B26" t="s">
        <v>202</v>
      </c>
      <c r="D26" s="105">
        <f>D24*D25</f>
        <v>1422200</v>
      </c>
      <c r="E26" t="s">
        <v>202</v>
      </c>
    </row>
    <row r="27" spans="1:5" ht="12.75">
      <c r="A27" s="105">
        <f>A26*0.015</f>
        <v>21333</v>
      </c>
      <c r="B27" t="s">
        <v>203</v>
      </c>
      <c r="D27" s="105">
        <f>D26*0.015</f>
        <v>21333</v>
      </c>
      <c r="E27" t="s">
        <v>203</v>
      </c>
    </row>
    <row r="28" spans="1:5" ht="12.75">
      <c r="A28" s="121">
        <v>0.3</v>
      </c>
      <c r="B28" t="s">
        <v>204</v>
      </c>
      <c r="D28" s="121">
        <v>0.3</v>
      </c>
      <c r="E28" t="s">
        <v>204</v>
      </c>
    </row>
    <row r="29" spans="1:5" ht="12.75">
      <c r="A29" s="105">
        <f>A27*A28</f>
        <v>6399.9</v>
      </c>
      <c r="B29" t="s">
        <v>205</v>
      </c>
      <c r="D29" s="105">
        <f>D27*D28</f>
        <v>6399.9</v>
      </c>
      <c r="E29" t="s">
        <v>205</v>
      </c>
    </row>
    <row r="30" spans="1:5" ht="12.75">
      <c r="A30" s="2">
        <f>A23/A27</f>
        <v>0.42808888066958234</v>
      </c>
      <c r="B30" t="s">
        <v>215</v>
      </c>
      <c r="D30" s="122">
        <f>D23/D27</f>
        <v>1.7123555226783294</v>
      </c>
      <c r="E30" s="103" t="s">
        <v>215</v>
      </c>
    </row>
    <row r="31" spans="1:5" ht="12.75">
      <c r="A31" s="104">
        <v>3.5</v>
      </c>
      <c r="B31" t="s">
        <v>207</v>
      </c>
      <c r="D31" s="104">
        <v>3.5</v>
      </c>
      <c r="E31" t="s">
        <v>207</v>
      </c>
    </row>
    <row r="32" spans="1:5" ht="12.75">
      <c r="A32" s="123">
        <v>0.2</v>
      </c>
      <c r="B32" t="s">
        <v>208</v>
      </c>
      <c r="D32" s="123">
        <v>0.2</v>
      </c>
      <c r="E32" t="s">
        <v>208</v>
      </c>
    </row>
    <row r="33" spans="1:5" ht="12.75">
      <c r="A33" s="125">
        <f>A32*A23</f>
        <v>1826.4840182648402</v>
      </c>
      <c r="B33" s="125" t="s">
        <v>209</v>
      </c>
      <c r="D33" s="125">
        <f>D32*D23</f>
        <v>7305.936073059361</v>
      </c>
      <c r="E33" s="125" t="s">
        <v>209</v>
      </c>
    </row>
    <row r="34" spans="1:5" ht="12.75">
      <c r="A34" s="105">
        <f>A33*A31</f>
        <v>6392.6940639269405</v>
      </c>
      <c r="B34" t="s">
        <v>210</v>
      </c>
      <c r="D34" s="105">
        <f>D33*D31</f>
        <v>25570.776255707762</v>
      </c>
      <c r="E34" t="s">
        <v>210</v>
      </c>
    </row>
    <row r="35" spans="1:5" ht="12.75">
      <c r="A35" s="105">
        <f>A33*A22</f>
        <v>500000</v>
      </c>
      <c r="B35" t="s">
        <v>211</v>
      </c>
      <c r="D35" s="105">
        <f>D33*D22</f>
        <v>2000000</v>
      </c>
      <c r="E35" t="s">
        <v>211</v>
      </c>
    </row>
    <row r="36" spans="1:5" ht="12.75">
      <c r="A36" s="125">
        <f>A34*A22</f>
        <v>1750000</v>
      </c>
      <c r="B36" s="124" t="s">
        <v>212</v>
      </c>
      <c r="D36" s="125">
        <f>D34*D22</f>
        <v>7000000</v>
      </c>
      <c r="E36" s="124" t="s">
        <v>212</v>
      </c>
    </row>
    <row r="39" spans="1:6" ht="12.75">
      <c r="A39" s="383" t="s">
        <v>216</v>
      </c>
      <c r="B39" s="383"/>
      <c r="D39" s="128">
        <v>0.5</v>
      </c>
      <c r="E39" s="129" t="s">
        <v>217</v>
      </c>
      <c r="F39" s="129"/>
    </row>
    <row r="40" spans="1:5" ht="12.75">
      <c r="A40" s="2">
        <v>1.5</v>
      </c>
      <c r="B40" t="s">
        <v>218</v>
      </c>
      <c r="D40" s="130">
        <v>0.0095</v>
      </c>
      <c r="E40" s="131" t="s">
        <v>219</v>
      </c>
    </row>
    <row r="41" spans="1:5" ht="12.75">
      <c r="A41" s="105">
        <f>A8*A40</f>
        <v>31999.5</v>
      </c>
      <c r="B41" t="s">
        <v>220</v>
      </c>
      <c r="D41" s="130">
        <v>0.0155</v>
      </c>
      <c r="E41" s="131" t="s">
        <v>221</v>
      </c>
    </row>
    <row r="42" spans="1:2" ht="12.75">
      <c r="A42" s="105">
        <f>A41-A8</f>
        <v>10666.5</v>
      </c>
      <c r="B42" t="s">
        <v>222</v>
      </c>
    </row>
    <row r="43" spans="1:2" ht="12.75">
      <c r="A43" s="104">
        <v>3.5</v>
      </c>
      <c r="B43" t="s">
        <v>223</v>
      </c>
    </row>
    <row r="44" spans="1:2" ht="12.75">
      <c r="A44" s="123">
        <v>0.2</v>
      </c>
      <c r="B44" t="s">
        <v>224</v>
      </c>
    </row>
    <row r="45" spans="1:2" ht="12.75">
      <c r="A45" s="132">
        <f>A44*A42</f>
        <v>2133.3</v>
      </c>
      <c r="B45" s="132" t="s">
        <v>209</v>
      </c>
    </row>
    <row r="46" spans="1:2" ht="12.75">
      <c r="A46" s="105">
        <f>A45*A43</f>
        <v>7466.550000000001</v>
      </c>
      <c r="B46" t="s">
        <v>225</v>
      </c>
    </row>
    <row r="47" spans="1:2" ht="12.75">
      <c r="A47" s="105">
        <f>A45*274</f>
        <v>584524.2000000001</v>
      </c>
      <c r="B47" t="s">
        <v>211</v>
      </c>
    </row>
    <row r="48" spans="1:2" ht="12.75">
      <c r="A48" s="132">
        <f>A47*A43</f>
        <v>2045834.7000000002</v>
      </c>
      <c r="B48" s="133" t="s">
        <v>212</v>
      </c>
    </row>
  </sheetData>
  <sheetProtection/>
  <mergeCells count="5">
    <mergeCell ref="A39:B39"/>
    <mergeCell ref="A1:B1"/>
    <mergeCell ref="D1:E1"/>
    <mergeCell ref="A20:B20"/>
    <mergeCell ref="D20:E2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27"/>
  <sheetViews>
    <sheetView zoomScalePageLayoutView="0" workbookViewId="0" topLeftCell="A1">
      <selection activeCell="P19" sqref="P19"/>
    </sheetView>
  </sheetViews>
  <sheetFormatPr defaultColWidth="9.140625" defaultRowHeight="12.75"/>
  <cols>
    <col min="1" max="1" width="20.8515625" style="0" customWidth="1"/>
  </cols>
  <sheetData>
    <row r="1" spans="1:5" ht="15.75">
      <c r="A1" s="160" t="s">
        <v>326</v>
      </c>
      <c r="B1" s="103"/>
      <c r="C1" s="103"/>
      <c r="D1" s="103"/>
      <c r="E1" s="103"/>
    </row>
    <row r="2" spans="1:5" ht="12.75">
      <c r="A2" s="103"/>
      <c r="B2" s="103"/>
      <c r="C2" s="103"/>
      <c r="D2" s="103"/>
      <c r="E2" s="103"/>
    </row>
    <row r="3" spans="1:5" ht="12.75">
      <c r="A3" s="126">
        <v>3082355782</v>
      </c>
      <c r="B3" s="103" t="s">
        <v>327</v>
      </c>
      <c r="C3" s="103"/>
      <c r="D3" s="103"/>
      <c r="E3" s="103"/>
    </row>
    <row r="4" spans="1:5" ht="12.75">
      <c r="A4" s="103"/>
      <c r="B4" s="103"/>
      <c r="C4" s="103"/>
      <c r="D4" s="103"/>
      <c r="E4" s="103"/>
    </row>
    <row r="5" spans="1:5" ht="12.75">
      <c r="A5" s="168" t="s">
        <v>328</v>
      </c>
      <c r="B5" s="168"/>
      <c r="C5" s="103"/>
      <c r="D5" s="126"/>
      <c r="E5" s="103"/>
    </row>
    <row r="6" spans="1:3" ht="12.75">
      <c r="A6" s="126">
        <v>6300000</v>
      </c>
      <c r="B6" s="103" t="s">
        <v>197</v>
      </c>
      <c r="C6" s="103"/>
    </row>
    <row r="7" spans="1:3" ht="12.75">
      <c r="A7" s="107">
        <v>3.5</v>
      </c>
      <c r="B7" s="103" t="s">
        <v>329</v>
      </c>
      <c r="C7" s="103"/>
    </row>
    <row r="8" spans="1:3" ht="12.75">
      <c r="A8" s="169">
        <v>0.15</v>
      </c>
      <c r="B8" s="103" t="s">
        <v>330</v>
      </c>
      <c r="C8" s="103"/>
    </row>
    <row r="9" spans="1:3" ht="12.75">
      <c r="A9" s="103"/>
      <c r="B9" s="103"/>
      <c r="C9" s="103"/>
    </row>
    <row r="10" spans="1:3" ht="12.75">
      <c r="A10" s="126">
        <f>A6*A7*A8</f>
        <v>3307500</v>
      </c>
      <c r="B10" s="127" t="s">
        <v>331</v>
      </c>
      <c r="C10" s="103"/>
    </row>
    <row r="11" spans="1:3" ht="12.75">
      <c r="A11" s="159">
        <f>A10/A3</f>
        <v>0.0010730429041691982</v>
      </c>
      <c r="B11" s="147" t="s">
        <v>332</v>
      </c>
      <c r="C11" s="103"/>
    </row>
    <row r="12" spans="1:3" ht="12.75">
      <c r="A12" s="103"/>
      <c r="B12" s="103"/>
      <c r="C12" s="103"/>
    </row>
    <row r="13" spans="1:3" ht="12.75">
      <c r="A13" s="103"/>
      <c r="B13" s="103"/>
      <c r="C13" s="103"/>
    </row>
    <row r="14" spans="1:3" ht="12.75">
      <c r="A14" s="168" t="s">
        <v>333</v>
      </c>
      <c r="B14" s="103"/>
      <c r="C14" s="103"/>
    </row>
    <row r="15" spans="1:5" ht="12.75">
      <c r="A15" s="126">
        <v>2735000</v>
      </c>
      <c r="B15" s="103" t="s">
        <v>200</v>
      </c>
      <c r="C15" s="103"/>
      <c r="D15" s="103"/>
      <c r="E15" s="103"/>
    </row>
    <row r="16" spans="1:3" ht="12.75">
      <c r="A16" s="170">
        <v>0.085</v>
      </c>
      <c r="B16" s="103" t="s">
        <v>334</v>
      </c>
      <c r="C16" s="103"/>
    </row>
    <row r="17" spans="1:3" ht="12.75">
      <c r="A17" s="103"/>
      <c r="B17" s="103"/>
      <c r="C17" s="103"/>
    </row>
    <row r="18" spans="1:5" ht="12.75">
      <c r="A18" s="126">
        <f>A15*A16</f>
        <v>232475.00000000003</v>
      </c>
      <c r="B18" s="103" t="s">
        <v>335</v>
      </c>
      <c r="C18" s="103"/>
      <c r="D18" s="103"/>
      <c r="E18" s="103"/>
    </row>
    <row r="19" spans="1:5" ht="12.75">
      <c r="A19" s="107">
        <v>3.5</v>
      </c>
      <c r="B19" s="103" t="s">
        <v>336</v>
      </c>
      <c r="C19" s="103"/>
      <c r="D19" s="103"/>
      <c r="E19" s="103"/>
    </row>
    <row r="20" spans="1:5" ht="12.75">
      <c r="A20" s="103">
        <v>0.15</v>
      </c>
      <c r="B20" s="103" t="s">
        <v>337</v>
      </c>
      <c r="C20" s="103"/>
      <c r="D20" s="103"/>
      <c r="E20" s="103"/>
    </row>
    <row r="21" spans="1:5" ht="12.75">
      <c r="A21" s="103">
        <v>260</v>
      </c>
      <c r="B21" s="103" t="s">
        <v>338</v>
      </c>
      <c r="C21" s="103"/>
      <c r="D21" s="103"/>
      <c r="E21" s="103"/>
    </row>
    <row r="22" spans="1:5" ht="12.75">
      <c r="A22" s="103"/>
      <c r="B22" s="103"/>
      <c r="C22" s="103"/>
      <c r="D22" s="103"/>
      <c r="E22" s="103"/>
    </row>
    <row r="23" spans="1:5" ht="12.75">
      <c r="A23" s="126">
        <f>A18*A19*A20*A21</f>
        <v>31732837.500000004</v>
      </c>
      <c r="B23" s="103" t="s">
        <v>339</v>
      </c>
      <c r="C23" s="103"/>
      <c r="D23" s="103"/>
      <c r="E23" s="103"/>
    </row>
    <row r="24" spans="1:5" ht="12.75">
      <c r="A24" s="126"/>
      <c r="B24" s="103"/>
      <c r="C24" s="103"/>
      <c r="D24" s="103"/>
      <c r="E24" s="103"/>
    </row>
    <row r="25" spans="1:5" ht="12.75">
      <c r="A25" s="159">
        <f>A23/A3</f>
        <v>0.010294995044150943</v>
      </c>
      <c r="B25" s="147" t="s">
        <v>332</v>
      </c>
      <c r="C25" s="103"/>
      <c r="D25" s="103"/>
      <c r="E25" s="103"/>
    </row>
    <row r="26" spans="1:5" ht="12.75">
      <c r="A26" s="109">
        <v>0.23</v>
      </c>
      <c r="B26" s="103" t="s">
        <v>340</v>
      </c>
      <c r="C26" s="103"/>
      <c r="D26" s="103"/>
      <c r="E26" s="103"/>
    </row>
    <row r="27" spans="1:5" ht="12.75">
      <c r="A27" s="109">
        <f>A25*A26</f>
        <v>0.002367848860154717</v>
      </c>
      <c r="B27" s="103" t="s">
        <v>341</v>
      </c>
      <c r="C27" s="103"/>
      <c r="D27" s="103"/>
      <c r="E27" s="10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Raab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Raab</dc:creator>
  <cp:keywords/>
  <dc:description/>
  <cp:lastModifiedBy>JacobG</cp:lastModifiedBy>
  <cp:lastPrinted>2010-01-05T16:09:14Z</cp:lastPrinted>
  <dcterms:created xsi:type="dcterms:W3CDTF">2009-12-10T18:53:42Z</dcterms:created>
  <dcterms:modified xsi:type="dcterms:W3CDTF">2010-01-22T21:50:52Z</dcterms:modified>
  <cp:category/>
  <cp:version/>
  <cp:contentType/>
  <cp:contentStatus/>
</cp:coreProperties>
</file>